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7400" windowHeight="8475"/>
  </bookViews>
  <sheets>
    <sheet name="COP" sheetId="1" r:id="rId1"/>
    <sheet name="Source Temperature" sheetId="2" r:id="rId2"/>
    <sheet name="Economics" sheetId="3" r:id="rId3"/>
    <sheet name="case study-1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F37" i="4"/>
  <c r="C46"/>
  <c r="E28"/>
  <c r="E25"/>
  <c r="F25"/>
  <c r="G25" s="1"/>
  <c r="E26"/>
  <c r="E27"/>
  <c r="E29"/>
  <c r="E30"/>
  <c r="E31"/>
  <c r="E32"/>
  <c r="E33"/>
  <c r="E34"/>
  <c r="E35"/>
  <c r="E36"/>
  <c r="B60"/>
  <c r="D63" s="1"/>
  <c r="D79"/>
  <c r="C79"/>
  <c r="C62"/>
  <c r="C63" s="1"/>
  <c r="F26"/>
  <c r="F27"/>
  <c r="F28"/>
  <c r="F29"/>
  <c r="F30"/>
  <c r="F31"/>
  <c r="F32"/>
  <c r="F33"/>
  <c r="F34"/>
  <c r="F35"/>
  <c r="F36"/>
  <c r="B23"/>
  <c r="B20"/>
  <c r="E20"/>
  <c r="D20"/>
  <c r="C20"/>
  <c r="D37"/>
  <c r="C37"/>
  <c r="C47" s="1"/>
  <c r="D47" s="1"/>
  <c r="B37"/>
  <c r="D46" l="1"/>
  <c r="D48" s="1"/>
  <c r="D62"/>
  <c r="C78"/>
  <c r="D78" s="1"/>
  <c r="D80" s="1"/>
  <c r="G27"/>
  <c r="H27" s="1"/>
  <c r="G29"/>
  <c r="H29" s="1"/>
  <c r="G35"/>
  <c r="H35" s="1"/>
  <c r="E37"/>
  <c r="H25"/>
  <c r="I33"/>
  <c r="G31"/>
  <c r="H31" s="1"/>
  <c r="G32"/>
  <c r="H32" s="1"/>
  <c r="G30"/>
  <c r="H30" s="1"/>
  <c r="I35"/>
  <c r="I29"/>
  <c r="I27"/>
  <c r="I36"/>
  <c r="I34"/>
  <c r="I28"/>
  <c r="I26"/>
  <c r="G33"/>
  <c r="H33" s="1"/>
  <c r="I25"/>
  <c r="I31"/>
  <c r="I32"/>
  <c r="I30"/>
  <c r="G28"/>
  <c r="H28" s="1"/>
  <c r="G26"/>
  <c r="H26" s="1"/>
  <c r="G36"/>
  <c r="H36" s="1"/>
  <c r="G34"/>
  <c r="H34" s="1"/>
  <c r="H10" i="1"/>
  <c r="H13" s="1"/>
  <c r="H12" i="2"/>
  <c r="H13"/>
  <c r="H14"/>
  <c r="H11"/>
  <c r="D64" i="4" l="1"/>
  <c r="C64"/>
  <c r="G37"/>
  <c r="I37"/>
  <c r="C54" l="1"/>
  <c r="D54" s="1"/>
  <c r="C86"/>
  <c r="D86" s="1"/>
  <c r="H37"/>
  <c r="C53" l="1"/>
  <c r="C85"/>
  <c r="D85" s="1"/>
  <c r="D87" s="1"/>
  <c r="D89" s="1"/>
  <c r="D53"/>
  <c r="D55" s="1"/>
  <c r="D65" l="1"/>
  <c r="D66" s="1"/>
  <c r="D67" s="1"/>
  <c r="D68" s="1"/>
  <c r="C65"/>
  <c r="C66" s="1"/>
  <c r="C67" s="1"/>
  <c r="C68" s="1"/>
</calcChain>
</file>

<file path=xl/sharedStrings.xml><?xml version="1.0" encoding="utf-8"?>
<sst xmlns="http://schemas.openxmlformats.org/spreadsheetml/2006/main" count="225" uniqueCount="175">
  <si>
    <t>High Efficiency ASHP</t>
  </si>
  <si>
    <t>Standard ASHP</t>
  </si>
  <si>
    <t>Earth Source (G &amp; W)</t>
  </si>
  <si>
    <t>HEAT PUMPS FOR DOMESTIC HEATING IN RURAL AREAS</t>
  </si>
  <si>
    <t>Source: Commercial Earth Energy Systems, Natural Resources Canada</t>
  </si>
  <si>
    <t>Temperature Requirements for SPACE HEATING:</t>
  </si>
  <si>
    <t>Underfloor Heating</t>
  </si>
  <si>
    <t>Low Temp. Radiators</t>
  </si>
  <si>
    <t>Conventional Radiators</t>
  </si>
  <si>
    <t>Air Heating</t>
  </si>
  <si>
    <t>30-45</t>
  </si>
  <si>
    <t>45-55</t>
  </si>
  <si>
    <t>60-90</t>
  </si>
  <si>
    <t>30-50</t>
  </si>
  <si>
    <t>Source Temperature</t>
  </si>
  <si>
    <t>Temperature Requirement for Water Heating:</t>
  </si>
  <si>
    <t>Air Teamperature for ASHP</t>
  </si>
  <si>
    <t>Water Temperature for WSHP</t>
  </si>
  <si>
    <t>Type of Distribution system</t>
  </si>
  <si>
    <t>Domestic Hot water</t>
  </si>
  <si>
    <t>De-superheater</t>
  </si>
  <si>
    <t>Atmospheric Properties:</t>
  </si>
  <si>
    <t>Soil Properties:</t>
  </si>
  <si>
    <r>
      <t xml:space="preserve"> T ( t</t>
    </r>
    <r>
      <rPr>
        <i/>
        <vertAlign val="subscript"/>
        <sz val="12"/>
        <color indexed="8"/>
        <rFont val="Times New Roman"/>
        <family val="1"/>
      </rPr>
      <t xml:space="preserve">year </t>
    </r>
    <r>
      <rPr>
        <i/>
        <sz val="12"/>
        <color indexed="8"/>
        <rFont val="Times New Roman"/>
        <family val="1"/>
      </rPr>
      <t xml:space="preserve">,D )= </t>
    </r>
    <r>
      <rPr>
        <sz val="12"/>
        <color indexed="8"/>
        <rFont val="Times New Roman"/>
        <family val="1"/>
      </rPr>
      <t xml:space="preserve">  </t>
    </r>
    <r>
      <rPr>
        <i/>
        <sz val="12"/>
        <color indexed="8"/>
        <rFont val="Times New Roman"/>
        <family val="1"/>
      </rPr>
      <t>T</t>
    </r>
    <r>
      <rPr>
        <i/>
        <vertAlign val="subscript"/>
        <sz val="12"/>
        <color indexed="8"/>
        <rFont val="Times New Roman"/>
        <family val="1"/>
      </rPr>
      <t xml:space="preserve">mean </t>
    </r>
    <r>
      <rPr>
        <i/>
        <sz val="12"/>
        <color indexed="8"/>
        <rFont val="Times New Roman"/>
        <family val="1"/>
      </rPr>
      <t>– T</t>
    </r>
    <r>
      <rPr>
        <i/>
        <vertAlign val="subscript"/>
        <sz val="12"/>
        <color indexed="8"/>
        <rFont val="Times New Roman"/>
        <family val="1"/>
      </rPr>
      <t>amp</t>
    </r>
    <r>
      <rPr>
        <i/>
        <sz val="12"/>
        <color indexed="8"/>
        <rFont val="Times New Roman"/>
        <family val="1"/>
      </rPr>
      <t xml:space="preserve"> </t>
    </r>
  </si>
  <si>
    <r>
      <t xml:space="preserve">Ground temperature at a time of year </t>
    </r>
    <r>
      <rPr>
        <i/>
        <sz val="11"/>
        <color indexed="8"/>
        <rFont val="Calibri"/>
        <family val="2"/>
      </rPr>
      <t xml:space="preserve">(tyear)and at a </t>
    </r>
    <r>
      <rPr>
        <sz val="11"/>
        <color theme="1"/>
        <rFont val="Calibri"/>
        <family val="2"/>
        <scheme val="minor"/>
      </rPr>
      <t xml:space="preserve">depth </t>
    </r>
    <r>
      <rPr>
        <i/>
        <sz val="11"/>
        <color indexed="8"/>
        <rFont val="Calibri"/>
        <family val="2"/>
      </rPr>
      <t>(D)</t>
    </r>
  </si>
  <si>
    <t>Ground Temperature Estimation at different depths</t>
  </si>
  <si>
    <r>
      <t xml:space="preserve"> Thermal Diffusivity of soil </t>
    </r>
    <r>
      <rPr>
        <i/>
        <sz val="11"/>
        <color indexed="8"/>
        <rFont val="Calibri"/>
        <family val="2"/>
      </rPr>
      <t>(</t>
    </r>
    <r>
      <rPr>
        <i/>
        <sz val="11"/>
        <color indexed="8"/>
        <rFont val="Calibri"/>
        <family val="2"/>
      </rPr>
      <t>α)</t>
    </r>
  </si>
  <si>
    <r>
      <t xml:space="preserve">Temperature shift </t>
    </r>
    <r>
      <rPr>
        <i/>
        <sz val="11"/>
        <color indexed="8"/>
        <rFont val="Calibri"/>
        <family val="2"/>
      </rPr>
      <t>(</t>
    </r>
    <r>
      <rPr>
        <b/>
        <i/>
        <sz val="11"/>
        <color indexed="8"/>
        <rFont val="Calibri"/>
        <family val="2"/>
      </rPr>
      <t>t</t>
    </r>
    <r>
      <rPr>
        <b/>
        <i/>
        <sz val="9"/>
        <color indexed="8"/>
        <rFont val="Calibri"/>
        <family val="2"/>
      </rPr>
      <t>shift</t>
    </r>
    <r>
      <rPr>
        <i/>
        <sz val="11"/>
        <color indexed="8"/>
        <rFont val="Calibri"/>
        <family val="2"/>
      </rPr>
      <t>)</t>
    </r>
  </si>
  <si>
    <r>
      <t xml:space="preserve">Amplitude of surface temperature </t>
    </r>
    <r>
      <rPr>
        <i/>
        <sz val="11"/>
        <color indexed="8"/>
        <rFont val="Calibri"/>
        <family val="2"/>
      </rPr>
      <t>(</t>
    </r>
    <r>
      <rPr>
        <b/>
        <i/>
        <sz val="11"/>
        <color indexed="8"/>
        <rFont val="Calibri"/>
        <family val="2"/>
      </rPr>
      <t>T</t>
    </r>
    <r>
      <rPr>
        <b/>
        <i/>
        <sz val="9"/>
        <color indexed="8"/>
        <rFont val="Calibri"/>
        <family val="2"/>
      </rPr>
      <t>amp</t>
    </r>
    <r>
      <rPr>
        <i/>
        <sz val="11"/>
        <color indexed="8"/>
        <rFont val="Calibri"/>
        <family val="2"/>
      </rPr>
      <t>)</t>
    </r>
  </si>
  <si>
    <r>
      <t xml:space="preserve">Mean surface Temperature </t>
    </r>
    <r>
      <rPr>
        <i/>
        <sz val="11"/>
        <color indexed="8"/>
        <rFont val="Calibri"/>
        <family val="2"/>
      </rPr>
      <t>(</t>
    </r>
    <r>
      <rPr>
        <b/>
        <i/>
        <sz val="11"/>
        <color indexed="8"/>
        <rFont val="Calibri"/>
        <family val="2"/>
      </rPr>
      <t>T</t>
    </r>
    <r>
      <rPr>
        <b/>
        <i/>
        <sz val="9"/>
        <color indexed="8"/>
        <rFont val="Calibri"/>
        <family val="2"/>
      </rPr>
      <t>mean</t>
    </r>
    <r>
      <rPr>
        <i/>
        <sz val="11"/>
        <color indexed="8"/>
        <rFont val="Calibri"/>
        <family val="2"/>
      </rPr>
      <t>)</t>
    </r>
  </si>
  <si>
    <t>(Average air temp).</t>
  </si>
  <si>
    <t>((max Air temp. - min air temp)/2)</t>
  </si>
  <si>
    <t>(day of year of min surface temperature)</t>
  </si>
  <si>
    <t>Source: Kasuda, T and Archenbach, P.R., ASHRAE trascations, vol. 71, part 1, 1965</t>
  </si>
  <si>
    <t>° C</t>
  </si>
  <si>
    <r>
      <t>m</t>
    </r>
    <r>
      <rPr>
        <sz val="11"/>
        <color indexed="8"/>
        <rFont val="Calibri"/>
        <family val="2"/>
      </rPr>
      <t>²/s</t>
    </r>
  </si>
  <si>
    <t>day</t>
  </si>
  <si>
    <r>
      <t xml:space="preserve">time of year </t>
    </r>
    <r>
      <rPr>
        <i/>
        <sz val="11"/>
        <color indexed="8"/>
        <rFont val="Calibri"/>
        <family val="2"/>
      </rPr>
      <t>(t</t>
    </r>
    <r>
      <rPr>
        <i/>
        <sz val="9"/>
        <color indexed="8"/>
        <rFont val="Calibri"/>
        <family val="2"/>
      </rPr>
      <t>year</t>
    </r>
    <r>
      <rPr>
        <i/>
        <sz val="11"/>
        <color indexed="8"/>
        <rFont val="Calibri"/>
        <family val="2"/>
      </rPr>
      <t>)</t>
    </r>
  </si>
  <si>
    <t>depth from surface</t>
  </si>
  <si>
    <t>m</t>
  </si>
  <si>
    <t>Temperature required</t>
  </si>
  <si>
    <t xml:space="preserve">35° C </t>
  </si>
  <si>
    <t>40° C</t>
  </si>
  <si>
    <t>45° C</t>
  </si>
  <si>
    <t>50° C</t>
  </si>
  <si>
    <t>55° C</t>
  </si>
  <si>
    <t>60° C</t>
  </si>
  <si>
    <t>20° C</t>
  </si>
  <si>
    <t>25° C</t>
  </si>
  <si>
    <t>30° C</t>
  </si>
  <si>
    <t>TYPE OF HEAT PUMP</t>
  </si>
  <si>
    <t>LIFT ( ° C )</t>
  </si>
  <si>
    <t>LIFT (output temp. - source temp.)</t>
  </si>
  <si>
    <t>difference between required output temperature of heat pump to source temperature</t>
  </si>
  <si>
    <t>Variation of COP for different heat pumps with temperature Lift</t>
  </si>
  <si>
    <t>Heat Pump Economics</t>
  </si>
  <si>
    <t>Type</t>
  </si>
  <si>
    <t>Horizontal</t>
  </si>
  <si>
    <t>ground coil</t>
  </si>
  <si>
    <t>250-350</t>
  </si>
  <si>
    <t>Heat pump</t>
  </si>
  <si>
    <t>350-650</t>
  </si>
  <si>
    <t>Total system</t>
  </si>
  <si>
    <t>600-1000</t>
  </si>
  <si>
    <t>vertical</t>
  </si>
  <si>
    <t>450-600</t>
  </si>
  <si>
    <t>800-1250</t>
  </si>
  <si>
    <t>costs include installation and commissioning but exclude distribution system</t>
  </si>
  <si>
    <t>source: Energy Savings Trust, UK</t>
  </si>
  <si>
    <t>COP of GSHP</t>
  </si>
  <si>
    <t>varies with output temperature</t>
  </si>
  <si>
    <t>source: RET Screen, GSHP Project model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</si>
  <si>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</si>
  <si>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</si>
  <si>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</si>
  <si>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</si>
  <si>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</si>
  <si>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</si>
  <si>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</si>
  <si>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</si>
  <si>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</si>
  <si>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</si>
  <si>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</si>
  <si>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</si>
  <si>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3 m</t>
  </si>
  <si>
    <t>2 m</t>
  </si>
  <si>
    <t>1.5 m</t>
  </si>
  <si>
    <t>1 m</t>
  </si>
  <si>
    <t>MONTH</t>
  </si>
  <si>
    <t>capital cost</t>
  </si>
  <si>
    <t>pump size</t>
  </si>
  <si>
    <t>kW</t>
  </si>
  <si>
    <t>Temperature to distribution system</t>
  </si>
  <si>
    <t>Energy Required 
for Space Heating (kWh)</t>
  </si>
  <si>
    <t>out door toilet heating (kWh)-electricity fuel</t>
  </si>
  <si>
    <t>Monthly Hot Water Heat
Requirement (kWh)</t>
  </si>
  <si>
    <t>Month</t>
  </si>
  <si>
    <t>cost</t>
  </si>
  <si>
    <t>CASE STUDY-1</t>
  </si>
  <si>
    <t>Mabie farm park, Dumfries and Galloway</t>
  </si>
  <si>
    <t xml:space="preserve">Annual </t>
  </si>
  <si>
    <t>Demand and Supply</t>
  </si>
  <si>
    <r>
      <t>Earth Source capital costs (</t>
    </r>
    <r>
      <rPr>
        <sz val="11"/>
        <color theme="1"/>
        <rFont val="Calibri"/>
        <family val="2"/>
      </rPr>
      <t>£/kW)</t>
    </r>
  </si>
  <si>
    <r>
      <t>heating COP (COP</t>
    </r>
    <r>
      <rPr>
        <b/>
        <sz val="8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>)</t>
    </r>
  </si>
  <si>
    <t>SOURCE TEMPERATURE</t>
  </si>
  <si>
    <t>O/M costs (approx. 1% of capital costs)</t>
  </si>
  <si>
    <t>Distribution system</t>
  </si>
  <si>
    <t>Low temperature radiators</t>
  </si>
  <si>
    <t xml:space="preserve">temperature required for distribution is 45 - 55 deg. C, since there is also demand for hot water distribution temperature considered as 55 deg. C </t>
  </si>
  <si>
    <t>Heating System Type:</t>
  </si>
  <si>
    <t>Current Heating system</t>
  </si>
  <si>
    <t>Oil fired modern energy efficient condensing combination boiler</t>
  </si>
  <si>
    <t>heating area</t>
  </si>
  <si>
    <t>demand (kWh)</t>
  </si>
  <si>
    <t>fuel used</t>
  </si>
  <si>
    <t>visitor center</t>
  </si>
  <si>
    <t>out door toilets</t>
  </si>
  <si>
    <t>kerosene (0.0317 p/kWh)</t>
  </si>
  <si>
    <t>Electricity (0.1024 p/kWh)</t>
  </si>
  <si>
    <t>Proposed Heating system</t>
  </si>
  <si>
    <t>Heating system Type:</t>
  </si>
  <si>
    <t>Heating Area</t>
  </si>
  <si>
    <t>heat pump size</t>
  </si>
  <si>
    <t>COST ANALYSIS</t>
  </si>
  <si>
    <t>whole building</t>
  </si>
  <si>
    <t>energy supplied by and fuel used</t>
  </si>
  <si>
    <t>heat pump (electricity)</t>
  </si>
  <si>
    <t>current boiler (kerosene)</t>
  </si>
  <si>
    <t>SIMPLE PAYBACK PERIOD</t>
  </si>
  <si>
    <t>Heat Pump Size                                          kW</t>
  </si>
  <si>
    <t>Annual running costs for present system</t>
  </si>
  <si>
    <t>Annual running costs for GSHP</t>
  </si>
  <si>
    <t>Annual savings</t>
  </si>
  <si>
    <t xml:space="preserve">Annual PAYBACK </t>
  </si>
  <si>
    <t>Pay back time (years)</t>
  </si>
  <si>
    <t>grant of £ 1,500 by EST</t>
  </si>
  <si>
    <t>*EST- Energy Savings Trust</t>
  </si>
  <si>
    <t xml:space="preserve">Annual Running cost for the system </t>
  </si>
  <si>
    <t>total cost of the heat pump including installation and commissioning of heat pump and ground heat exchanger</t>
  </si>
  <si>
    <t>operation and maintenance costs of heat pump which is much lesser than any other technology, taken as 1% of capital cost</t>
  </si>
  <si>
    <t xml:space="preserve">maximum energy can supply by the heat pump </t>
  </si>
  <si>
    <t>Annual O/M costs (approx. 1% of capital costs)</t>
  </si>
  <si>
    <t>annual Running costs for the current system</t>
  </si>
  <si>
    <t>annual Running costs for the proposed system</t>
  </si>
  <si>
    <t>Annual Savings</t>
  </si>
  <si>
    <t xml:space="preserve">Annual payback </t>
  </si>
  <si>
    <t>Total Pay back time for the proposed system</t>
  </si>
  <si>
    <t>it is the total costs for running the system to supply the demand</t>
  </si>
  <si>
    <t>it is the total money saved by proposed system over the current system, i.e. difference of their running costs</t>
  </si>
  <si>
    <t xml:space="preserve">It the total money paid back for the capital cost for proposed heating system i.e. annual savings minus operations and maintenance costs </t>
  </si>
  <si>
    <t>It is total number of years taken to pay back the capital costs of proposed heating system i.e. capital cost divided by annual pay back</t>
  </si>
  <si>
    <t>ENVIRONMENTAL IMPACTS</t>
  </si>
  <si>
    <t>Running costs or fuel costs for current and proposed system</t>
  </si>
  <si>
    <r>
      <rPr>
        <b/>
        <sz val="16"/>
        <color theme="1"/>
        <rFont val="Calibri"/>
        <family val="2"/>
        <scheme val="minor"/>
      </rPr>
      <t>co</t>
    </r>
    <r>
      <rPr>
        <b/>
        <sz val="8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SAVINGS</t>
    </r>
  </si>
  <si>
    <t>rate of CO2 emmission for fuel</t>
  </si>
  <si>
    <t>Electricity (0.43 kgCO2/kWh)</t>
  </si>
  <si>
    <t>kerosene (0.24 kgCO2/kWh)</t>
  </si>
  <si>
    <t>CO2 emissions (tonnes)</t>
  </si>
  <si>
    <t xml:space="preserve">Annual CO2 emissions by the system </t>
  </si>
  <si>
    <t>Annual CO2 savings by proposed heating system over current system</t>
  </si>
  <si>
    <t>tonnes</t>
  </si>
  <si>
    <t>Heat Pump Type:</t>
  </si>
  <si>
    <t>Ground Source, Horizontal ground heat exchanger</t>
  </si>
  <si>
    <t>Heating System:</t>
  </si>
  <si>
    <t>Bi-Valent Heat Pump with High energy efficiency Oil (kerosene) fired Boiler</t>
  </si>
  <si>
    <t>Total Heating demand (kWh)</t>
  </si>
  <si>
    <t>Heating capacity of Heat Pump (kWh)</t>
  </si>
  <si>
    <t>Heating Load on Heat Pump (kWh)</t>
  </si>
  <si>
    <r>
      <t>Energy consumed by the Heat Pump at (COP</t>
    </r>
    <r>
      <rPr>
        <b/>
        <sz val="8"/>
        <rFont val="Arial"/>
        <family val="2"/>
      </rPr>
      <t>h</t>
    </r>
    <r>
      <rPr>
        <b/>
        <sz val="10"/>
        <rFont val="Arial"/>
        <family val="2"/>
      </rPr>
      <t>=3.48) (kWh)</t>
    </r>
  </si>
  <si>
    <t>Heating load for Auxiliary heating system (kWh)</t>
  </si>
  <si>
    <t>Bi-Valent Ground Source Heat Pump</t>
  </si>
  <si>
    <t>GSHP</t>
  </si>
  <si>
    <t>Heat Pump Size                                          8 kW</t>
  </si>
  <si>
    <t>Oil fired modern energy efficient condensing combination boiler (efficiency of 90%)</t>
  </si>
  <si>
    <t>Ground Source Heat Pump (COP=3.48)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</si>
</sst>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&quot;£&quot;#,##0.00"/>
  </numFmts>
  <fonts count="32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i/>
      <vertAlign val="subscript"/>
      <sz val="12"/>
      <color indexed="8"/>
      <name val="Times New Roman"/>
      <family val="1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i/>
      <sz val="9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2" fillId="0" borderId="0" applyFont="0" applyFill="0" applyBorder="0" applyAlignment="0" applyProtection="0"/>
  </cellStyleXfs>
  <cellXfs count="183">
    <xf numFmtId="0" fontId="0" fillId="0" borderId="0" xfId="0"/>
    <xf numFmtId="0" fontId="10" fillId="2" borderId="0" xfId="0" applyFont="1" applyFill="1" applyAlignment="1">
      <alignment vertical="center"/>
    </xf>
    <xf numFmtId="0" fontId="0" fillId="2" borderId="0" xfId="0" applyFill="1"/>
    <xf numFmtId="0" fontId="11" fillId="2" borderId="0" xfId="0" applyFont="1" applyFill="1" applyAlignment="1"/>
    <xf numFmtId="0" fontId="0" fillId="2" borderId="0" xfId="0" applyFill="1" applyAlignmen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/>
    <xf numFmtId="0" fontId="12" fillId="4" borderId="0" xfId="0" applyFont="1" applyFill="1" applyAlignment="1">
      <alignment horizontal="left"/>
    </xf>
    <xf numFmtId="0" fontId="13" fillId="4" borderId="0" xfId="0" applyFont="1" applyFill="1" applyAlignment="1"/>
    <xf numFmtId="0" fontId="14" fillId="4" borderId="0" xfId="0" applyFont="1" applyFill="1"/>
    <xf numFmtId="0" fontId="0" fillId="5" borderId="0" xfId="0" applyFill="1" applyAlignment="1">
      <alignment horizontal="right"/>
    </xf>
    <xf numFmtId="0" fontId="15" fillId="5" borderId="0" xfId="0" applyFont="1" applyFill="1"/>
    <xf numFmtId="0" fontId="0" fillId="5" borderId="0" xfId="0" applyFill="1"/>
    <xf numFmtId="0" fontId="0" fillId="4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13" fillId="4" borderId="0" xfId="0" applyFont="1" applyFill="1"/>
    <xf numFmtId="0" fontId="0" fillId="2" borderId="0" xfId="0" applyFill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ont="1" applyFill="1"/>
    <xf numFmtId="0" fontId="11" fillId="4" borderId="0" xfId="0" applyFont="1" applyFill="1"/>
    <xf numFmtId="0" fontId="16" fillId="5" borderId="0" xfId="0" applyFont="1" applyFill="1" applyBorder="1" applyAlignment="1">
      <alignment horizontal="center"/>
    </xf>
    <xf numFmtId="0" fontId="14" fillId="2" borderId="0" xfId="0" applyFont="1" applyFill="1" applyAlignment="1"/>
    <xf numFmtId="0" fontId="17" fillId="2" borderId="0" xfId="0" applyFont="1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9" fillId="4" borderId="0" xfId="0" applyFon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10" fillId="0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8" borderId="0" xfId="0" applyFill="1" applyBorder="1"/>
    <xf numFmtId="0" fontId="20" fillId="9" borderId="2" xfId="0" applyFont="1" applyFill="1" applyBorder="1" applyAlignment="1">
      <alignment wrapText="1"/>
    </xf>
    <xf numFmtId="0" fontId="0" fillId="0" borderId="3" xfId="0" applyBorder="1"/>
    <xf numFmtId="0" fontId="0" fillId="0" borderId="0" xfId="0" applyBorder="1"/>
    <xf numFmtId="0" fontId="21" fillId="0" borderId="0" xfId="0" applyFont="1"/>
    <xf numFmtId="2" fontId="0" fillId="0" borderId="0" xfId="0" applyNumberFormat="1" applyBorder="1"/>
    <xf numFmtId="0" fontId="20" fillId="0" borderId="0" xfId="0" applyFont="1" applyFill="1" applyBorder="1" applyAlignment="1">
      <alignment wrapText="1"/>
    </xf>
    <xf numFmtId="0" fontId="0" fillId="11" borderId="0" xfId="0" applyFill="1"/>
    <xf numFmtId="0" fontId="24" fillId="11" borderId="0" xfId="0" applyFont="1" applyFill="1" applyAlignment="1"/>
    <xf numFmtId="0" fontId="21" fillId="0" borderId="0" xfId="0" applyFont="1" applyFill="1"/>
    <xf numFmtId="0" fontId="9" fillId="10" borderId="2" xfId="0" applyFont="1" applyFill="1" applyBorder="1"/>
    <xf numFmtId="0" fontId="23" fillId="7" borderId="0" xfId="0" applyFont="1" applyFill="1" applyAlignment="1">
      <alignment horizontal="center"/>
    </xf>
    <xf numFmtId="0" fontId="23" fillId="11" borderId="0" xfId="0" applyFont="1" applyFill="1" applyAlignment="1"/>
    <xf numFmtId="0" fontId="9" fillId="0" borderId="3" xfId="0" applyFont="1" applyFill="1" applyBorder="1"/>
    <xf numFmtId="0" fontId="25" fillId="0" borderId="2" xfId="0" applyFont="1" applyBorder="1"/>
    <xf numFmtId="2" fontId="0" fillId="0" borderId="0" xfId="0" applyNumberFormat="1" applyFill="1" applyBorder="1"/>
    <xf numFmtId="0" fontId="0" fillId="0" borderId="0" xfId="0" applyFill="1" applyBorder="1"/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9" fillId="0" borderId="2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6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0" fontId="0" fillId="13" borderId="0" xfId="0" applyFill="1"/>
    <xf numFmtId="0" fontId="24" fillId="0" borderId="0" xfId="0" applyFont="1" applyFill="1" applyAlignment="1"/>
    <xf numFmtId="0" fontId="9" fillId="14" borderId="2" xfId="0" applyFont="1" applyFill="1" applyBorder="1" applyAlignment="1">
      <alignment horizontal="center"/>
    </xf>
    <xf numFmtId="2" fontId="0" fillId="14" borderId="10" xfId="0" applyNumberFormat="1" applyFill="1" applyBorder="1" applyAlignment="1">
      <alignment horizontal="center"/>
    </xf>
    <xf numFmtId="2" fontId="0" fillId="14" borderId="3" xfId="0" applyNumberFormat="1" applyFill="1" applyBorder="1" applyAlignment="1">
      <alignment horizontal="center"/>
    </xf>
    <xf numFmtId="2" fontId="0" fillId="14" borderId="6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14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20" fillId="9" borderId="1" xfId="0" applyNumberFormat="1" applyFont="1" applyFill="1" applyBorder="1" applyAlignment="1">
      <alignment wrapText="1"/>
    </xf>
    <xf numFmtId="2" fontId="26" fillId="0" borderId="9" xfId="0" applyNumberFormat="1" applyFont="1" applyFill="1" applyBorder="1" applyAlignment="1">
      <alignment horizontal="center"/>
    </xf>
    <xf numFmtId="0" fontId="20" fillId="0" borderId="8" xfId="0" applyFont="1" applyBorder="1"/>
    <xf numFmtId="0" fontId="20" fillId="0" borderId="0" xfId="0" applyFont="1" applyFill="1"/>
    <xf numFmtId="2" fontId="0" fillId="0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20" fillId="2" borderId="11" xfId="0" applyNumberFormat="1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6" xfId="0" applyBorder="1"/>
    <xf numFmtId="0" fontId="21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8" fillId="0" borderId="0" xfId="0" applyFont="1" applyBorder="1" applyAlignment="1">
      <alignment horizontal="left" vertical="top"/>
    </xf>
    <xf numFmtId="0" fontId="21" fillId="0" borderId="6" xfId="0" applyFont="1" applyBorder="1" applyAlignment="1">
      <alignment horizontal="center"/>
    </xf>
    <xf numFmtId="0" fontId="13" fillId="0" borderId="0" xfId="0" applyFont="1"/>
    <xf numFmtId="165" fontId="0" fillId="8" borderId="0" xfId="0" applyNumberFormat="1" applyFill="1" applyBorder="1"/>
    <xf numFmtId="0" fontId="0" fillId="13" borderId="0" xfId="0" applyFill="1" applyBorder="1"/>
    <xf numFmtId="165" fontId="0" fillId="8" borderId="0" xfId="0" applyNumberFormat="1" applyFill="1"/>
    <xf numFmtId="165" fontId="0" fillId="8" borderId="0" xfId="0" applyNumberFormat="1" applyFill="1" applyBorder="1" applyAlignment="1"/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8" borderId="0" xfId="0" applyFill="1" applyAlignment="1"/>
    <xf numFmtId="0" fontId="17" fillId="2" borderId="0" xfId="0" applyFont="1" applyFill="1"/>
    <xf numFmtId="0" fontId="9" fillId="0" borderId="0" xfId="0" applyFont="1"/>
    <xf numFmtId="0" fontId="17" fillId="0" borderId="0" xfId="0" applyFont="1"/>
    <xf numFmtId="2" fontId="9" fillId="14" borderId="6" xfId="0" applyNumberFormat="1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9" fillId="14" borderId="7" xfId="0" applyNumberFormat="1" applyFont="1" applyFill="1" applyBorder="1" applyAlignment="1">
      <alignment horizontal="center"/>
    </xf>
    <xf numFmtId="2" fontId="9" fillId="7" borderId="0" xfId="0" applyNumberFormat="1" applyFont="1" applyFill="1"/>
    <xf numFmtId="0" fontId="9" fillId="7" borderId="0" xfId="0" applyFont="1" applyFill="1"/>
    <xf numFmtId="0" fontId="18" fillId="0" borderId="0" xfId="0" applyFont="1" applyFill="1" applyAlignment="1"/>
    <xf numFmtId="0" fontId="0" fillId="0" borderId="3" xfId="0" applyFill="1" applyBorder="1"/>
    <xf numFmtId="0" fontId="29" fillId="0" borderId="10" xfId="0" applyFont="1" applyBorder="1"/>
    <xf numFmtId="0" fontId="20" fillId="0" borderId="10" xfId="0" applyFont="1" applyBorder="1"/>
    <xf numFmtId="0" fontId="11" fillId="15" borderId="0" xfId="0" applyFont="1" applyFill="1"/>
    <xf numFmtId="0" fontId="0" fillId="15" borderId="0" xfId="0" applyFill="1"/>
    <xf numFmtId="165" fontId="9" fillId="2" borderId="6" xfId="0" applyNumberFormat="1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20" fillId="2" borderId="2" xfId="0" applyFont="1" applyFill="1" applyBorder="1" applyAlignment="1">
      <alignment horizontal="center"/>
    </xf>
    <xf numFmtId="0" fontId="0" fillId="2" borderId="3" xfId="0" applyFill="1" applyBorder="1"/>
    <xf numFmtId="0" fontId="21" fillId="2" borderId="3" xfId="0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0" fontId="0" fillId="2" borderId="6" xfId="0" applyFill="1" applyBorder="1"/>
    <xf numFmtId="0" fontId="21" fillId="2" borderId="6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20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6" fillId="0" borderId="8" xfId="0" applyFont="1" applyBorder="1"/>
    <xf numFmtId="165" fontId="0" fillId="12" borderId="4" xfId="0" applyNumberForma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0" fontId="0" fillId="2" borderId="0" xfId="0" applyFill="1" applyBorder="1"/>
    <xf numFmtId="2" fontId="0" fillId="2" borderId="0" xfId="0" applyNumberFormat="1" applyFill="1" applyBorder="1"/>
    <xf numFmtId="0" fontId="0" fillId="0" borderId="2" xfId="0" applyBorder="1"/>
    <xf numFmtId="0" fontId="9" fillId="0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right"/>
    </xf>
    <xf numFmtId="0" fontId="9" fillId="7" borderId="12" xfId="0" applyFont="1" applyFill="1" applyBorder="1"/>
    <xf numFmtId="0" fontId="16" fillId="5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7" fillId="15" borderId="0" xfId="0" applyFont="1" applyFill="1" applyAlignment="1">
      <alignment horizontal="center" vertical="center"/>
    </xf>
    <xf numFmtId="0" fontId="18" fillId="15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10" fillId="7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11" fillId="4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19" fillId="6" borderId="0" xfId="0" applyFont="1" applyFill="1" applyAlignment="1">
      <alignment horizontal="right"/>
    </xf>
    <xf numFmtId="0" fontId="18" fillId="7" borderId="0" xfId="0" applyFont="1" applyFill="1" applyAlignment="1">
      <alignment horizontal="center"/>
    </xf>
    <xf numFmtId="0" fontId="0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left"/>
    </xf>
    <xf numFmtId="0" fontId="9" fillId="0" borderId="5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8" fillId="0" borderId="9" xfId="0" applyFont="1" applyFill="1" applyBorder="1" applyAlignment="1">
      <alignment horizontal="left" vertical="top"/>
    </xf>
    <xf numFmtId="164" fontId="10" fillId="0" borderId="9" xfId="1" applyFont="1" applyBorder="1" applyAlignment="1">
      <alignment horizontal="left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9" fillId="2" borderId="2" xfId="0" applyFont="1" applyFill="1" applyBorder="1" applyAlignment="1">
      <alignment horizontal="left"/>
    </xf>
    <xf numFmtId="0" fontId="21" fillId="0" borderId="9" xfId="0" applyFont="1" applyFill="1" applyBorder="1" applyAlignment="1">
      <alignment horizontal="center"/>
    </xf>
    <xf numFmtId="0" fontId="28" fillId="0" borderId="0" xfId="0" applyFont="1" applyBorder="1" applyAlignment="1">
      <alignment horizontal="left" vertical="top"/>
    </xf>
    <xf numFmtId="0" fontId="9" fillId="2" borderId="5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20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/>
            </a:pPr>
            <a:r>
              <a:rPr lang="en-GB" sz="1400"/>
              <a:t>GSHP</a:t>
            </a:r>
            <a:r>
              <a:rPr lang="en-GB" sz="1400" baseline="0"/>
              <a:t> Energy Supply for Heating Demand</a:t>
            </a:r>
            <a:endParaRPr lang="en-GB" sz="1400"/>
          </a:p>
        </c:rich>
      </c:tx>
      <c:layout/>
    </c:title>
    <c:plotArea>
      <c:layout>
        <c:manualLayout>
          <c:layoutTarget val="inner"/>
          <c:xMode val="edge"/>
          <c:yMode val="edge"/>
          <c:x val="9.4757687999280901E-2"/>
          <c:y val="0.11004712927613652"/>
          <c:w val="0.64607255218925463"/>
          <c:h val="0.81447103826186684"/>
        </c:manualLayout>
      </c:layout>
      <c:barChart>
        <c:barDir val="col"/>
        <c:grouping val="stacked"/>
        <c:ser>
          <c:idx val="0"/>
          <c:order val="0"/>
          <c:tx>
            <c:strRef>
              <c:f>'case study-1'!$B$24</c:f>
              <c:strCache>
                <c:ptCount val="1"/>
                <c:pt idx="0">
                  <c:v>Energy Required 
for Space Heating (kWh)</c:v>
                </c:pt>
              </c:strCache>
            </c:strRef>
          </c:tx>
          <c:cat>
            <c:strRef>
              <c:f>'[1]Visitor Centre'!$B$71:$B$82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'case study-1'!$B$25:$B$36</c:f>
              <c:numCache>
                <c:formatCode>0.00</c:formatCode>
                <c:ptCount val="12"/>
                <c:pt idx="0">
                  <c:v>3852.2967512727282</c:v>
                </c:pt>
                <c:pt idx="1">
                  <c:v>9157.3183447272713</c:v>
                </c:pt>
                <c:pt idx="2">
                  <c:v>8024.5412187636348</c:v>
                </c:pt>
                <c:pt idx="3">
                  <c:v>5780.6918683636395</c:v>
                </c:pt>
                <c:pt idx="4">
                  <c:v>1573.3297098909115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3951.0481236363639</c:v>
                </c:pt>
                <c:pt idx="10">
                  <c:v>1983.1395890909089</c:v>
                </c:pt>
                <c:pt idx="11">
                  <c:v>4170.1906845090925</c:v>
                </c:pt>
              </c:numCache>
            </c:numRef>
          </c:val>
        </c:ser>
        <c:ser>
          <c:idx val="1"/>
          <c:order val="1"/>
          <c:tx>
            <c:strRef>
              <c:f>'case study-1'!$C$24</c:f>
              <c:strCache>
                <c:ptCount val="1"/>
                <c:pt idx="0">
                  <c:v>out door toilet heating (kWh)-electricity fuel</c:v>
                </c:pt>
              </c:strCache>
            </c:strRef>
          </c:tx>
          <c:cat>
            <c:strRef>
              <c:f>'[1]Visitor Centre'!$B$71:$B$82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'case study-1'!$C$25:$C$36</c:f>
              <c:numCache>
                <c:formatCode>0.00</c:formatCode>
                <c:ptCount val="12"/>
                <c:pt idx="0">
                  <c:v>909.94691339013821</c:v>
                </c:pt>
                <c:pt idx="1">
                  <c:v>1441.1442754208588</c:v>
                </c:pt>
                <c:pt idx="2">
                  <c:v>1289.1898020005424</c:v>
                </c:pt>
                <c:pt idx="3">
                  <c:v>789.78216922391903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645.24725182981842</c:v>
                </c:pt>
                <c:pt idx="10">
                  <c:v>498.74896910094571</c:v>
                </c:pt>
                <c:pt idx="11">
                  <c:v>990.67901826879563</c:v>
                </c:pt>
              </c:numCache>
            </c:numRef>
          </c:val>
        </c:ser>
        <c:ser>
          <c:idx val="2"/>
          <c:order val="2"/>
          <c:tx>
            <c:strRef>
              <c:f>'case study-1'!$D$24</c:f>
              <c:strCache>
                <c:ptCount val="1"/>
                <c:pt idx="0">
                  <c:v>Monthly Hot Water Heat
Requirement (kWh)</c:v>
                </c:pt>
              </c:strCache>
            </c:strRef>
          </c:tx>
          <c:val>
            <c:numRef>
              <c:f>'case study-1'!$D$25:$D$36</c:f>
              <c:numCache>
                <c:formatCode>General</c:formatCode>
                <c:ptCount val="12"/>
                <c:pt idx="0">
                  <c:v>43</c:v>
                </c:pt>
                <c:pt idx="1">
                  <c:v>102</c:v>
                </c:pt>
                <c:pt idx="2">
                  <c:v>182</c:v>
                </c:pt>
                <c:pt idx="3">
                  <c:v>326</c:v>
                </c:pt>
                <c:pt idx="4">
                  <c:v>653</c:v>
                </c:pt>
                <c:pt idx="5">
                  <c:v>1539</c:v>
                </c:pt>
                <c:pt idx="6">
                  <c:v>1580</c:v>
                </c:pt>
                <c:pt idx="7">
                  <c:v>1266</c:v>
                </c:pt>
                <c:pt idx="8">
                  <c:v>624</c:v>
                </c:pt>
                <c:pt idx="9">
                  <c:v>182</c:v>
                </c:pt>
                <c:pt idx="10">
                  <c:v>42</c:v>
                </c:pt>
                <c:pt idx="11">
                  <c:v>43</c:v>
                </c:pt>
              </c:numCache>
            </c:numRef>
          </c:val>
        </c:ser>
        <c:overlap val="100"/>
        <c:axId val="76887168"/>
        <c:axId val="76888704"/>
      </c:barChart>
      <c:lineChart>
        <c:grouping val="standard"/>
        <c:ser>
          <c:idx val="3"/>
          <c:order val="3"/>
          <c:tx>
            <c:strRef>
              <c:f>'case study-1'!$F$24</c:f>
              <c:strCache>
                <c:ptCount val="1"/>
                <c:pt idx="0">
                  <c:v>Heating capacity of Heat Pump (kWh)</c:v>
                </c:pt>
              </c:strCache>
            </c:strRef>
          </c:tx>
          <c:val>
            <c:numRef>
              <c:f>'case study-1'!$F$25:$F$36</c:f>
              <c:numCache>
                <c:formatCode>0.00</c:formatCode>
                <c:ptCount val="12"/>
                <c:pt idx="0">
                  <c:v>5840</c:v>
                </c:pt>
                <c:pt idx="1">
                  <c:v>5840</c:v>
                </c:pt>
                <c:pt idx="2">
                  <c:v>5840</c:v>
                </c:pt>
                <c:pt idx="3">
                  <c:v>5840</c:v>
                </c:pt>
                <c:pt idx="4">
                  <c:v>5840</c:v>
                </c:pt>
                <c:pt idx="5">
                  <c:v>5840</c:v>
                </c:pt>
                <c:pt idx="6">
                  <c:v>5840</c:v>
                </c:pt>
                <c:pt idx="7">
                  <c:v>5840</c:v>
                </c:pt>
                <c:pt idx="8">
                  <c:v>5840</c:v>
                </c:pt>
                <c:pt idx="9">
                  <c:v>5840</c:v>
                </c:pt>
                <c:pt idx="10">
                  <c:v>5840</c:v>
                </c:pt>
                <c:pt idx="11">
                  <c:v>5840</c:v>
                </c:pt>
              </c:numCache>
            </c:numRef>
          </c:val>
        </c:ser>
        <c:ser>
          <c:idx val="4"/>
          <c:order val="4"/>
          <c:tx>
            <c:strRef>
              <c:f>'case study-1'!$G$24</c:f>
              <c:strCache>
                <c:ptCount val="1"/>
                <c:pt idx="0">
                  <c:v>Heating Load on Heat Pump (kWh)</c:v>
                </c:pt>
              </c:strCache>
            </c:strRef>
          </c:tx>
          <c:val>
            <c:numRef>
              <c:f>'case study-1'!$G$25:$G$36</c:f>
              <c:numCache>
                <c:formatCode>0.00</c:formatCode>
                <c:ptCount val="12"/>
                <c:pt idx="0">
                  <c:v>4805.2436646628666</c:v>
                </c:pt>
                <c:pt idx="1">
                  <c:v>5840</c:v>
                </c:pt>
                <c:pt idx="2">
                  <c:v>5840</c:v>
                </c:pt>
                <c:pt idx="3">
                  <c:v>5840</c:v>
                </c:pt>
                <c:pt idx="4">
                  <c:v>2226.3297098909115</c:v>
                </c:pt>
                <c:pt idx="5">
                  <c:v>1539</c:v>
                </c:pt>
                <c:pt idx="6">
                  <c:v>1580</c:v>
                </c:pt>
                <c:pt idx="7">
                  <c:v>1266</c:v>
                </c:pt>
                <c:pt idx="8">
                  <c:v>624</c:v>
                </c:pt>
                <c:pt idx="9">
                  <c:v>4778.2953754661821</c:v>
                </c:pt>
                <c:pt idx="10">
                  <c:v>2523.8885581918548</c:v>
                </c:pt>
                <c:pt idx="11">
                  <c:v>5203.8697027778881</c:v>
                </c:pt>
              </c:numCache>
            </c:numRef>
          </c:val>
        </c:ser>
        <c:marker val="1"/>
        <c:axId val="76887168"/>
        <c:axId val="76888704"/>
      </c:lineChart>
      <c:catAx>
        <c:axId val="76887168"/>
        <c:scaling>
          <c:orientation val="minMax"/>
        </c:scaling>
        <c:axPos val="b"/>
        <c:tickLblPos val="nextTo"/>
        <c:crossAx val="76888704"/>
        <c:crosses val="autoZero"/>
        <c:auto val="1"/>
        <c:lblAlgn val="ctr"/>
        <c:lblOffset val="100"/>
      </c:catAx>
      <c:valAx>
        <c:axId val="768887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heating demand (kWh)</a:t>
                </a:r>
              </a:p>
            </c:rich>
          </c:tx>
          <c:layout>
            <c:manualLayout>
              <c:xMode val="edge"/>
              <c:yMode val="edge"/>
              <c:x val="8.1967213114754103E-3"/>
              <c:y val="0.38130744901657182"/>
            </c:manualLayout>
          </c:layout>
        </c:title>
        <c:numFmt formatCode="#,##0.00" sourceLinked="0"/>
        <c:tickLblPos val="nextTo"/>
        <c:crossAx val="768871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15</xdr:row>
      <xdr:rowOff>180976</xdr:rowOff>
    </xdr:from>
    <xdr:to>
      <xdr:col>9</xdr:col>
      <xdr:colOff>180975</xdr:colOff>
      <xdr:row>32</xdr:row>
      <xdr:rowOff>9526</xdr:rowOff>
    </xdr:to>
    <xdr:pic>
      <xdr:nvPicPr>
        <xdr:cNvPr id="2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286" t="24467" r="17715" b="19681"/>
        <a:stretch>
          <a:fillRect/>
        </a:stretch>
      </xdr:blipFill>
      <xdr:spPr bwMode="auto">
        <a:xfrm>
          <a:off x="19050" y="3086101"/>
          <a:ext cx="573405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142875</xdr:colOff>
      <xdr:row>3</xdr:row>
      <xdr:rowOff>85725</xdr:rowOff>
    </xdr:from>
    <xdr:to>
      <xdr:col>14</xdr:col>
      <xdr:colOff>9525</xdr:colOff>
      <xdr:row>5</xdr:row>
      <xdr:rowOff>180975</xdr:rowOff>
    </xdr:to>
    <xdr:pic>
      <xdr:nvPicPr>
        <xdr:cNvPr id="2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695950" y="657225"/>
          <a:ext cx="35242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38</xdr:row>
      <xdr:rowOff>152400</xdr:rowOff>
    </xdr:from>
    <xdr:to>
      <xdr:col>19</xdr:col>
      <xdr:colOff>381000</xdr:colOff>
      <xdr:row>59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e%20study_mabie%20farm_cos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isitor Centre"/>
      <sheetName val="Outdoor Toilets"/>
      <sheetName val="Sheet1"/>
    </sheetNames>
    <sheetDataSet>
      <sheetData sheetId="0">
        <row r="71">
          <cell r="B71" t="str">
            <v>January</v>
          </cell>
        </row>
        <row r="72">
          <cell r="B72" t="str">
            <v>February</v>
          </cell>
        </row>
        <row r="73">
          <cell r="B73" t="str">
            <v>March</v>
          </cell>
        </row>
        <row r="74">
          <cell r="B74" t="str">
            <v>April</v>
          </cell>
        </row>
        <row r="75">
          <cell r="B75" t="str">
            <v>May</v>
          </cell>
        </row>
        <row r="76">
          <cell r="B76" t="str">
            <v>June</v>
          </cell>
        </row>
        <row r="77">
          <cell r="B77" t="str">
            <v>July</v>
          </cell>
        </row>
        <row r="78">
          <cell r="B78" t="str">
            <v>August</v>
          </cell>
        </row>
        <row r="79">
          <cell r="B79" t="str">
            <v>September</v>
          </cell>
        </row>
        <row r="80">
          <cell r="B80" t="str">
            <v>October</v>
          </cell>
        </row>
        <row r="81">
          <cell r="B81" t="str">
            <v>November</v>
          </cell>
        </row>
        <row r="82">
          <cell r="B82" t="str">
            <v>December</v>
          </cell>
        </row>
      </sheetData>
      <sheetData sheetId="1">
        <row r="66">
          <cell r="F66" t="str">
            <v>Energy Required 
for Space Heating (out door) (kWh)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workbookViewId="0">
      <selection activeCell="M24" sqref="M24"/>
    </sheetView>
  </sheetViews>
  <sheetFormatPr defaultRowHeight="15"/>
  <cols>
    <col min="1" max="1" width="21.42578125" customWidth="1"/>
    <col min="2" max="2" width="13.28515625" customWidth="1"/>
    <col min="4" max="4" width="12.5703125" customWidth="1"/>
    <col min="6" max="6" width="9.140625" customWidth="1"/>
    <col min="7" max="7" width="12.85546875" customWidth="1"/>
    <col min="9" max="9" width="11.42578125" customWidth="1"/>
    <col min="12" max="12" width="9.140625" style="34"/>
  </cols>
  <sheetData>
    <row r="1" spans="1:12" ht="20.100000000000001" customHeight="1">
      <c r="A1" s="150" t="s">
        <v>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35"/>
    </row>
    <row r="2" spans="1:12" ht="20.100000000000001" customHeight="1">
      <c r="A2" s="2"/>
      <c r="B2" s="2"/>
      <c r="C2" s="2"/>
      <c r="D2" s="2"/>
      <c r="E2" s="2"/>
      <c r="F2" s="2"/>
      <c r="G2" s="1"/>
      <c r="H2" s="1"/>
      <c r="I2" s="1"/>
      <c r="J2" s="1"/>
      <c r="K2" s="1"/>
    </row>
    <row r="3" spans="1:12" ht="21" customHeight="1">
      <c r="A3" s="27" t="s">
        <v>5</v>
      </c>
      <c r="B3" s="27"/>
      <c r="C3" s="27"/>
      <c r="D3" s="18"/>
      <c r="E3" s="151" t="s">
        <v>15</v>
      </c>
      <c r="F3" s="151"/>
      <c r="G3" s="151"/>
      <c r="H3" s="151"/>
      <c r="I3" s="151"/>
      <c r="J3" s="2"/>
      <c r="K3" s="2"/>
    </row>
    <row r="4" spans="1:12">
      <c r="A4" s="141" t="s">
        <v>18</v>
      </c>
      <c r="B4" s="141"/>
      <c r="C4" s="149" t="s">
        <v>40</v>
      </c>
      <c r="D4" s="149"/>
      <c r="E4" s="2"/>
      <c r="F4" s="2"/>
      <c r="G4" s="2"/>
      <c r="H4" s="149" t="s">
        <v>40</v>
      </c>
      <c r="I4" s="149"/>
      <c r="J4" s="2"/>
      <c r="K4" s="2"/>
    </row>
    <row r="5" spans="1:12">
      <c r="A5" s="146" t="s">
        <v>6</v>
      </c>
      <c r="B5" s="146"/>
      <c r="C5" s="22" t="s">
        <v>10</v>
      </c>
      <c r="D5" s="23" t="s">
        <v>34</v>
      </c>
      <c r="E5" s="142" t="s">
        <v>19</v>
      </c>
      <c r="F5" s="142"/>
      <c r="G5" s="142"/>
      <c r="H5" s="22">
        <v>55</v>
      </c>
      <c r="I5" s="23" t="s">
        <v>34</v>
      </c>
      <c r="J5" s="2"/>
      <c r="K5" s="2"/>
    </row>
    <row r="6" spans="1:12">
      <c r="A6" s="146" t="s">
        <v>7</v>
      </c>
      <c r="B6" s="146"/>
      <c r="C6" s="22" t="s">
        <v>11</v>
      </c>
      <c r="D6" s="23" t="s">
        <v>34</v>
      </c>
      <c r="E6" s="142" t="s">
        <v>20</v>
      </c>
      <c r="F6" s="142"/>
      <c r="G6" s="142"/>
      <c r="H6" s="22">
        <v>75</v>
      </c>
      <c r="I6" s="23" t="s">
        <v>34</v>
      </c>
      <c r="J6" s="2"/>
      <c r="K6" s="2"/>
    </row>
    <row r="7" spans="1:12">
      <c r="A7" s="146" t="s">
        <v>8</v>
      </c>
      <c r="B7" s="146"/>
      <c r="C7" s="22" t="s">
        <v>12</v>
      </c>
      <c r="D7" s="23" t="s">
        <v>34</v>
      </c>
      <c r="E7" s="142"/>
      <c r="F7" s="142"/>
      <c r="G7" s="142"/>
      <c r="H7" s="22"/>
      <c r="I7" s="23"/>
      <c r="J7" s="2"/>
      <c r="K7" s="2"/>
    </row>
    <row r="8" spans="1:12" ht="15" customHeight="1">
      <c r="A8" s="146" t="s">
        <v>9</v>
      </c>
      <c r="B8" s="146"/>
      <c r="C8" s="22" t="s">
        <v>13</v>
      </c>
      <c r="D8" s="23" t="s">
        <v>34</v>
      </c>
      <c r="E8" s="142"/>
      <c r="F8" s="142"/>
      <c r="G8" s="142"/>
      <c r="H8" s="22"/>
      <c r="I8" s="23"/>
      <c r="J8" s="2"/>
      <c r="K8" s="2"/>
    </row>
    <row r="9" spans="1:12" ht="1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 ht="15" customHeight="1">
      <c r="A10" s="142" t="s">
        <v>14</v>
      </c>
      <c r="B10" s="142"/>
      <c r="C10" s="13">
        <v>8.4</v>
      </c>
      <c r="D10" s="13" t="s">
        <v>34</v>
      </c>
      <c r="E10" s="142" t="s">
        <v>52</v>
      </c>
      <c r="F10" s="142"/>
      <c r="G10" s="142"/>
      <c r="H10" s="31">
        <f>C14-C10</f>
        <v>46.6</v>
      </c>
      <c r="I10" s="13" t="s">
        <v>34</v>
      </c>
      <c r="J10" s="2"/>
      <c r="K10" s="2"/>
    </row>
    <row r="11" spans="1:12">
      <c r="A11" s="24" t="s">
        <v>2</v>
      </c>
      <c r="B11" s="24"/>
      <c r="C11" s="2"/>
      <c r="D11" s="2"/>
      <c r="E11" s="26" t="s">
        <v>53</v>
      </c>
      <c r="F11" s="26"/>
      <c r="G11" s="26"/>
      <c r="H11" s="2"/>
      <c r="I11" s="2"/>
      <c r="J11" s="2"/>
      <c r="K11" s="2"/>
    </row>
    <row r="12" spans="1:12">
      <c r="A12" s="24" t="s">
        <v>16</v>
      </c>
      <c r="B12" s="7"/>
      <c r="C12" s="2"/>
      <c r="D12" s="2"/>
      <c r="E12" s="2"/>
      <c r="F12" s="2"/>
      <c r="G12" s="2"/>
      <c r="H12" s="2"/>
      <c r="I12" s="2"/>
      <c r="J12" s="2"/>
      <c r="K12" s="2"/>
    </row>
    <row r="13" spans="1:12">
      <c r="A13" s="24" t="s">
        <v>17</v>
      </c>
      <c r="B13" s="7"/>
      <c r="C13" s="2"/>
      <c r="D13" s="2"/>
      <c r="E13" s="32" t="s">
        <v>69</v>
      </c>
      <c r="F13" s="7"/>
      <c r="G13" s="7"/>
      <c r="H13" s="13">
        <f>296.46*H10^(-1.157)</f>
        <v>3.4805157122997925</v>
      </c>
      <c r="I13" s="13"/>
      <c r="J13" s="2"/>
      <c r="K13" s="2"/>
    </row>
    <row r="14" spans="1:12" ht="15.75">
      <c r="A14" s="147" t="s">
        <v>92</v>
      </c>
      <c r="B14" s="148"/>
      <c r="C14" s="13">
        <v>55</v>
      </c>
      <c r="D14" s="13" t="s">
        <v>34</v>
      </c>
      <c r="E14" s="145" t="s">
        <v>70</v>
      </c>
      <c r="F14" s="145"/>
      <c r="G14" s="145"/>
      <c r="H14" s="2"/>
      <c r="I14" s="2"/>
      <c r="J14" s="2"/>
      <c r="K14" s="2"/>
    </row>
    <row r="15" spans="1:12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ht="21.75" customHeight="1">
      <c r="A16" s="109"/>
      <c r="B16" s="143" t="s">
        <v>54</v>
      </c>
      <c r="C16" s="144"/>
      <c r="D16" s="144"/>
      <c r="E16" s="144"/>
      <c r="F16" s="144"/>
      <c r="G16" s="144"/>
      <c r="H16" s="144"/>
      <c r="I16" s="110"/>
      <c r="J16" s="110"/>
      <c r="K16" s="2"/>
    </row>
    <row r="17" spans="1:16" ht="24.95" customHeight="1">
      <c r="A17" s="13"/>
      <c r="B17" s="13"/>
      <c r="C17" s="140" t="s">
        <v>51</v>
      </c>
      <c r="D17" s="140"/>
      <c r="E17" s="140"/>
      <c r="F17" s="140"/>
      <c r="G17" s="21"/>
      <c r="H17" s="13"/>
      <c r="I17" s="13"/>
      <c r="J17" s="13"/>
      <c r="K17" s="2"/>
    </row>
    <row r="18" spans="1:16">
      <c r="A18" s="25" t="s">
        <v>50</v>
      </c>
      <c r="B18" s="19" t="s">
        <v>47</v>
      </c>
      <c r="C18" s="19" t="s">
        <v>48</v>
      </c>
      <c r="D18" s="19" t="s">
        <v>49</v>
      </c>
      <c r="E18" s="19" t="s">
        <v>41</v>
      </c>
      <c r="F18" s="19" t="s">
        <v>42</v>
      </c>
      <c r="G18" s="19" t="s">
        <v>43</v>
      </c>
      <c r="H18" s="19" t="s">
        <v>44</v>
      </c>
      <c r="I18" s="19" t="s">
        <v>45</v>
      </c>
      <c r="J18" s="19" t="s">
        <v>46</v>
      </c>
      <c r="K18" s="2"/>
    </row>
    <row r="19" spans="1:16" ht="20.100000000000001" customHeight="1">
      <c r="A19" s="19" t="s">
        <v>2</v>
      </c>
      <c r="B19" s="20">
        <v>9.26</v>
      </c>
      <c r="C19" s="20">
        <v>7.15</v>
      </c>
      <c r="D19" s="20">
        <v>5.8</v>
      </c>
      <c r="E19" s="20">
        <v>4.8</v>
      </c>
      <c r="F19" s="20">
        <v>4.1500000000000004</v>
      </c>
      <c r="G19" s="20">
        <v>3.6</v>
      </c>
      <c r="H19" s="20">
        <v>3.2</v>
      </c>
      <c r="I19" s="20">
        <v>2.9</v>
      </c>
      <c r="J19" s="20">
        <v>2.6</v>
      </c>
      <c r="K19" s="2"/>
    </row>
    <row r="20" spans="1:16" ht="20.100000000000001" customHeight="1">
      <c r="A20" s="19" t="s">
        <v>0</v>
      </c>
      <c r="B20" s="20">
        <v>7.5</v>
      </c>
      <c r="C20" s="20">
        <v>5.9</v>
      </c>
      <c r="D20" s="20">
        <v>4.75</v>
      </c>
      <c r="E20" s="20">
        <v>3.9</v>
      </c>
      <c r="F20" s="20">
        <v>3.4</v>
      </c>
      <c r="G20" s="20">
        <v>3</v>
      </c>
      <c r="H20" s="20">
        <v>2.25</v>
      </c>
      <c r="I20" s="20">
        <v>2</v>
      </c>
      <c r="J20" s="20">
        <v>1.9</v>
      </c>
      <c r="K20" s="2"/>
    </row>
    <row r="21" spans="1:16" ht="20.100000000000001" customHeight="1">
      <c r="A21" s="19" t="s">
        <v>1</v>
      </c>
      <c r="B21" s="20">
        <v>4.5</v>
      </c>
      <c r="C21" s="20">
        <v>3.5</v>
      </c>
      <c r="D21" s="20">
        <v>2.5</v>
      </c>
      <c r="E21" s="20">
        <v>1.9</v>
      </c>
      <c r="F21" s="20">
        <v>1.8</v>
      </c>
      <c r="G21" s="20">
        <v>1.7</v>
      </c>
      <c r="H21" s="20">
        <v>1.6</v>
      </c>
      <c r="I21" s="20">
        <v>1.5</v>
      </c>
      <c r="J21" s="20">
        <v>1.4</v>
      </c>
      <c r="K21" s="2"/>
    </row>
    <row r="22" spans="1:16" ht="20.100000000000001" customHeight="1">
      <c r="A22" s="2"/>
      <c r="B22" s="2"/>
      <c r="C22" s="2"/>
      <c r="D22" s="2"/>
      <c r="E22" s="3" t="s">
        <v>4</v>
      </c>
      <c r="F22" s="3"/>
      <c r="G22" s="3"/>
      <c r="H22" s="4"/>
      <c r="I22" s="4"/>
      <c r="J22" s="4"/>
      <c r="K22" s="2"/>
    </row>
    <row r="23" spans="1:16" ht="20.10000000000000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P23" s="33"/>
    </row>
    <row r="24" spans="1:16" ht="20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P24" s="33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P25" s="33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P26" s="33"/>
    </row>
    <row r="27" spans="1: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P27" s="33"/>
    </row>
    <row r="28" spans="1:1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P28" s="33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P29" s="33"/>
    </row>
    <row r="30" spans="1:16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P30" s="33"/>
    </row>
    <row r="31" spans="1:16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P31" s="33"/>
    </row>
    <row r="32" spans="1:16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</sheetData>
  <mergeCells count="19">
    <mergeCell ref="A1:K1"/>
    <mergeCell ref="E3:I3"/>
    <mergeCell ref="A5:B5"/>
    <mergeCell ref="A6:B6"/>
    <mergeCell ref="A7:B7"/>
    <mergeCell ref="C4:D4"/>
    <mergeCell ref="C17:F17"/>
    <mergeCell ref="A4:B4"/>
    <mergeCell ref="E5:G5"/>
    <mergeCell ref="E6:G6"/>
    <mergeCell ref="E7:G7"/>
    <mergeCell ref="E8:G8"/>
    <mergeCell ref="E10:G10"/>
    <mergeCell ref="B16:H16"/>
    <mergeCell ref="E14:G14"/>
    <mergeCell ref="A8:B8"/>
    <mergeCell ref="A10:B10"/>
    <mergeCell ref="A14:B1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33"/>
  <sheetViews>
    <sheetView workbookViewId="0">
      <selection activeCell="A33" sqref="A33:E33"/>
    </sheetView>
  </sheetViews>
  <sheetFormatPr defaultRowHeight="15"/>
  <cols>
    <col min="3" max="3" width="19.28515625" customWidth="1"/>
    <col min="4" max="5" width="4.7109375" customWidth="1"/>
  </cols>
  <sheetData>
    <row r="1" spans="1:72">
      <c r="A1" s="152" t="s">
        <v>25</v>
      </c>
      <c r="B1" s="152"/>
      <c r="C1" s="152"/>
      <c r="D1" s="152"/>
      <c r="E1" s="152"/>
      <c r="F1" s="152"/>
      <c r="G1" s="2"/>
      <c r="H1" s="2"/>
      <c r="I1" s="2"/>
      <c r="J1" s="2"/>
      <c r="K1" s="2"/>
      <c r="L1" s="2"/>
      <c r="M1" s="2"/>
      <c r="N1" s="2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</row>
    <row r="2" spans="1:72" s="2" customFormat="1">
      <c r="A2" s="6"/>
      <c r="B2" s="6"/>
      <c r="C2" s="6"/>
      <c r="D2" s="6"/>
      <c r="E2" s="6"/>
      <c r="F2" s="6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</row>
    <row r="3" spans="1:72" s="2" customFormat="1">
      <c r="A3" s="154" t="s">
        <v>21</v>
      </c>
      <c r="B3" s="154"/>
      <c r="C3" s="154"/>
      <c r="D3" s="6"/>
      <c r="E3" s="6"/>
      <c r="F3" s="154" t="s">
        <v>24</v>
      </c>
      <c r="G3" s="154"/>
      <c r="H3" s="154"/>
      <c r="I3" s="154"/>
      <c r="J3" s="154"/>
      <c r="K3" s="154"/>
      <c r="L3" s="15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</row>
    <row r="4" spans="1:72">
      <c r="A4" s="142" t="s">
        <v>29</v>
      </c>
      <c r="B4" s="142"/>
      <c r="C4" s="142"/>
      <c r="D4" s="11"/>
      <c r="E4" s="12" t="s">
        <v>34</v>
      </c>
      <c r="F4" s="7"/>
      <c r="G4" s="7"/>
      <c r="H4" s="7"/>
      <c r="I4" s="7"/>
      <c r="J4" s="7"/>
      <c r="K4" s="7"/>
      <c r="L4" s="7"/>
      <c r="M4" s="7"/>
      <c r="N4" s="7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</row>
    <row r="5" spans="1:72" ht="18.75" customHeight="1">
      <c r="A5" s="153" t="s">
        <v>30</v>
      </c>
      <c r="B5" s="153"/>
      <c r="C5" s="153"/>
      <c r="D5" s="13"/>
      <c r="E5" s="13"/>
      <c r="F5" s="8" t="s">
        <v>23</v>
      </c>
      <c r="G5" s="7"/>
      <c r="H5" s="7"/>
      <c r="I5" s="7"/>
      <c r="J5" s="7"/>
      <c r="K5" s="7"/>
      <c r="L5" s="7"/>
      <c r="M5" s="7"/>
      <c r="N5" s="7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</row>
    <row r="6" spans="1:72">
      <c r="A6" s="142" t="s">
        <v>28</v>
      </c>
      <c r="B6" s="142"/>
      <c r="C6" s="142"/>
      <c r="D6" s="13"/>
      <c r="E6" s="12" t="s">
        <v>34</v>
      </c>
      <c r="F6" s="7"/>
      <c r="G6" s="7"/>
      <c r="H6" s="7"/>
      <c r="I6" s="7"/>
      <c r="J6" s="7"/>
      <c r="K6" s="7"/>
      <c r="L6" s="7"/>
      <c r="M6" s="7"/>
      <c r="N6" s="7"/>
    </row>
    <row r="7" spans="1:72">
      <c r="A7" s="153" t="s">
        <v>31</v>
      </c>
      <c r="B7" s="153"/>
      <c r="C7" s="153"/>
      <c r="D7" s="13"/>
      <c r="E7" s="13"/>
      <c r="F7" s="7"/>
      <c r="G7" s="7"/>
      <c r="H7" s="7"/>
      <c r="I7" s="7"/>
      <c r="J7" s="7"/>
      <c r="K7" s="9"/>
      <c r="L7" s="9"/>
      <c r="M7" s="9"/>
      <c r="N7" s="9"/>
    </row>
    <row r="8" spans="1:72">
      <c r="A8" s="142" t="s">
        <v>27</v>
      </c>
      <c r="B8" s="142"/>
      <c r="C8" s="142"/>
      <c r="D8" s="13"/>
      <c r="E8" s="12" t="s">
        <v>36</v>
      </c>
      <c r="F8" s="7"/>
      <c r="G8" s="10" t="s">
        <v>33</v>
      </c>
      <c r="H8" s="7"/>
      <c r="I8" s="7"/>
      <c r="J8" s="7"/>
      <c r="K8" s="7"/>
      <c r="L8" s="7"/>
      <c r="M8" s="7"/>
      <c r="N8" s="7"/>
    </row>
    <row r="9" spans="1:72">
      <c r="A9" s="148" t="s">
        <v>32</v>
      </c>
      <c r="B9" s="148"/>
      <c r="C9" s="148"/>
      <c r="D9" s="13"/>
      <c r="E9" s="13"/>
      <c r="F9" s="7"/>
      <c r="G9" s="7"/>
      <c r="H9" s="7"/>
      <c r="I9" s="7"/>
      <c r="J9" s="7"/>
      <c r="K9" s="7"/>
      <c r="L9" s="7"/>
      <c r="M9" s="7"/>
      <c r="N9" s="7"/>
    </row>
    <row r="10" spans="1:72">
      <c r="A10" s="154" t="s">
        <v>22</v>
      </c>
      <c r="B10" s="154"/>
      <c r="C10" s="154"/>
      <c r="D10" s="2"/>
      <c r="E10" s="2"/>
      <c r="F10" s="142" t="s">
        <v>37</v>
      </c>
      <c r="G10" s="142"/>
      <c r="H10" s="5" t="s">
        <v>34</v>
      </c>
      <c r="I10" s="17"/>
      <c r="J10" s="142" t="s">
        <v>38</v>
      </c>
      <c r="K10" s="142"/>
      <c r="L10" s="13"/>
      <c r="M10" s="13" t="s">
        <v>39</v>
      </c>
      <c r="N10" s="7"/>
    </row>
    <row r="11" spans="1:72" s="2" customFormat="1">
      <c r="A11" s="155" t="s">
        <v>26</v>
      </c>
      <c r="B11" s="155"/>
      <c r="C11" s="155"/>
      <c r="D11" s="13"/>
      <c r="E11" s="15" t="s">
        <v>35</v>
      </c>
      <c r="F11" s="14" t="s">
        <v>36</v>
      </c>
      <c r="G11" s="16">
        <v>1</v>
      </c>
      <c r="H11" s="7" t="e">
        <f>$D$4-$D$6*EXP((-$L$10*SQRT(PI()/(365*$D$11))))*COS((2*PI()/365)*(G11-$D$8-($L$10/2)*SQRT((365/(PI()*$D$11)))))</f>
        <v>#DIV/0!</v>
      </c>
      <c r="I11" s="7"/>
      <c r="J11" s="7"/>
      <c r="K11" s="7"/>
      <c r="L11" s="7"/>
      <c r="M11" s="7"/>
      <c r="N11" s="7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</row>
    <row r="12" spans="1:72">
      <c r="A12" s="2"/>
      <c r="B12" s="2"/>
      <c r="C12" s="2"/>
      <c r="D12" s="2"/>
      <c r="E12" s="2"/>
      <c r="F12" s="7"/>
      <c r="G12" s="16">
        <v>2</v>
      </c>
      <c r="H12" s="7" t="e">
        <f>$D$4-$D$6*EXP((-$L$10*SQRT(PI()/(365*$D$11))))*COS((2*PI()/365)*(G12-$D$8-($L$10/2)*SQRT((365/(PI()*$D$11)))))</f>
        <v>#DIV/0!</v>
      </c>
      <c r="I12" s="7"/>
      <c r="J12" s="7"/>
      <c r="K12" s="7"/>
      <c r="L12" s="7"/>
      <c r="M12" s="7"/>
      <c r="N12" s="7"/>
    </row>
    <row r="13" spans="1:72">
      <c r="A13" s="2"/>
      <c r="B13" s="2"/>
      <c r="C13" s="2"/>
      <c r="D13" s="2"/>
      <c r="E13" s="2"/>
      <c r="F13" s="7"/>
      <c r="G13" s="16">
        <v>3</v>
      </c>
      <c r="H13" s="7" t="e">
        <f>$D$4-$D$6*EXP((-$L$10*SQRT(PI()/(365*$D$11))))*COS((2*PI()/365)*(G13-$D$8-($L$10/2)*SQRT((365/(PI()*$D$11)))))</f>
        <v>#DIV/0!</v>
      </c>
      <c r="I13" s="7"/>
      <c r="J13" s="7"/>
      <c r="K13" s="7"/>
      <c r="L13" s="7"/>
      <c r="M13" s="7"/>
      <c r="N13" s="7"/>
    </row>
    <row r="14" spans="1:72">
      <c r="A14" s="2"/>
      <c r="B14" s="2"/>
      <c r="C14" s="2"/>
      <c r="D14" s="2"/>
      <c r="F14" s="7"/>
      <c r="G14" s="16">
        <v>4</v>
      </c>
      <c r="H14" s="7" t="e">
        <f>$D$4-$D$6*EXP((-$L$10*SQRT(PI()/(365*$D$11))))*COS((2*PI()/365)*(G14-$D$8-($L$10/2)*SQRT((365/(PI()*$D$11)))))</f>
        <v>#DIV/0!</v>
      </c>
      <c r="I14" s="7"/>
      <c r="J14" s="7"/>
      <c r="K14" s="7"/>
      <c r="L14" s="7"/>
      <c r="M14" s="7"/>
      <c r="N14" s="7"/>
    </row>
    <row r="15" spans="1:72">
      <c r="A15" s="2"/>
      <c r="B15" s="2"/>
      <c r="C15" s="2"/>
      <c r="D15" s="2"/>
      <c r="E15" s="2"/>
      <c r="F15" s="7"/>
      <c r="G15" s="16">
        <v>5</v>
      </c>
      <c r="H15" s="7"/>
      <c r="I15" s="7"/>
      <c r="J15" s="7"/>
      <c r="K15" s="7"/>
      <c r="L15" s="7"/>
      <c r="M15" s="7"/>
      <c r="N15" s="7"/>
    </row>
    <row r="16" spans="1:72">
      <c r="A16" s="2"/>
      <c r="B16" s="2"/>
      <c r="C16" s="2"/>
      <c r="D16" s="2"/>
      <c r="E16" s="2"/>
      <c r="F16" s="2"/>
      <c r="G16" s="30"/>
      <c r="H16" s="2"/>
      <c r="I16" s="2"/>
      <c r="J16" s="2"/>
      <c r="K16" s="2"/>
      <c r="L16" s="2"/>
      <c r="M16" s="2"/>
      <c r="N16" s="2"/>
    </row>
    <row r="17" spans="1:14">
      <c r="A17" s="141"/>
      <c r="B17" s="141"/>
      <c r="C17" s="141"/>
      <c r="D17" s="2"/>
      <c r="E17" s="2"/>
      <c r="F17" s="2"/>
      <c r="G17" s="30"/>
      <c r="H17" s="2"/>
      <c r="I17" s="2"/>
      <c r="J17" s="2"/>
      <c r="K17" s="2"/>
      <c r="L17" s="2"/>
      <c r="M17" s="2"/>
      <c r="N17" s="2"/>
    </row>
    <row r="18" spans="1:14">
      <c r="A18" s="2"/>
      <c r="B18" s="2"/>
      <c r="C18" s="2"/>
      <c r="D18" s="2"/>
      <c r="E18" s="2"/>
      <c r="F18" s="2"/>
      <c r="G18" s="30"/>
      <c r="H18" s="2"/>
      <c r="I18" s="2"/>
      <c r="J18" s="2"/>
      <c r="K18" s="2"/>
      <c r="L18" s="2"/>
      <c r="M18" s="2"/>
      <c r="N18" s="2"/>
    </row>
    <row r="19" spans="1:14">
      <c r="A19" s="2"/>
      <c r="B19" s="2"/>
      <c r="C19" s="2"/>
      <c r="D19" s="2"/>
      <c r="E19" s="2"/>
      <c r="F19" s="2"/>
      <c r="G19" s="30"/>
      <c r="H19" s="2"/>
      <c r="I19" s="2"/>
      <c r="J19" s="2"/>
      <c r="K19" s="2"/>
      <c r="L19" s="2"/>
      <c r="M19" s="2"/>
      <c r="N19" s="2"/>
    </row>
    <row r="20" spans="1:14">
      <c r="A20" s="2"/>
      <c r="B20" s="2"/>
      <c r="C20" s="2"/>
      <c r="D20" s="2"/>
      <c r="E20" s="2"/>
      <c r="F20" s="2"/>
      <c r="G20" s="30"/>
      <c r="H20" s="2"/>
      <c r="I20" s="2"/>
      <c r="J20" s="2"/>
      <c r="K20" s="2"/>
      <c r="L20" s="2"/>
      <c r="M20" s="2"/>
      <c r="N20" s="2"/>
    </row>
    <row r="21" spans="1:14">
      <c r="A21" s="2"/>
      <c r="B21" s="2"/>
      <c r="C21" s="2"/>
      <c r="D21" s="2"/>
      <c r="E21" s="2"/>
      <c r="F21" s="2"/>
      <c r="G21" s="30"/>
      <c r="H21" s="2"/>
      <c r="I21" s="2"/>
      <c r="J21" s="2"/>
      <c r="K21" s="2"/>
      <c r="L21" s="2"/>
      <c r="M21" s="2"/>
      <c r="N21" s="2"/>
    </row>
    <row r="22" spans="1:14">
      <c r="A22" s="2"/>
      <c r="B22" s="2"/>
      <c r="C22" s="2"/>
      <c r="D22" s="2"/>
      <c r="E22" s="2"/>
      <c r="F22" s="2"/>
      <c r="G22" s="30"/>
      <c r="H22" s="2"/>
      <c r="I22" s="2"/>
      <c r="J22" s="2"/>
      <c r="K22" s="2"/>
      <c r="L22" s="2"/>
      <c r="M22" s="2"/>
      <c r="N22" s="2"/>
    </row>
    <row r="23" spans="1:14">
      <c r="A23" s="2"/>
      <c r="B23" s="2"/>
      <c r="C23" s="2"/>
      <c r="D23" s="2"/>
      <c r="E23" s="2"/>
      <c r="F23" s="2"/>
      <c r="G23" s="30"/>
      <c r="H23" s="2"/>
      <c r="I23" s="2"/>
      <c r="J23" s="2"/>
      <c r="K23" s="2"/>
      <c r="L23" s="2"/>
      <c r="M23" s="2"/>
      <c r="N23" s="2"/>
    </row>
    <row r="24" spans="1:14">
      <c r="A24" s="2"/>
      <c r="B24" s="2"/>
      <c r="C24" s="2"/>
      <c r="D24" s="2"/>
      <c r="E24" s="2"/>
      <c r="F24" s="2"/>
      <c r="G24" s="30"/>
      <c r="H24" s="2"/>
      <c r="I24" s="2"/>
      <c r="J24" s="2"/>
      <c r="K24" s="2"/>
      <c r="L24" s="2"/>
      <c r="M24" s="2"/>
      <c r="N24" s="2"/>
    </row>
    <row r="25" spans="1:1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3"/>
      <c r="D32" s="3"/>
      <c r="E32" s="3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145" t="s">
        <v>71</v>
      </c>
      <c r="B33" s="145"/>
      <c r="C33" s="145"/>
      <c r="D33" s="145"/>
      <c r="E33" s="145"/>
      <c r="F33" s="2"/>
      <c r="G33" s="2"/>
      <c r="H33" s="2"/>
      <c r="I33" s="2"/>
      <c r="J33" s="2"/>
      <c r="K33" s="2"/>
      <c r="L33" s="2"/>
      <c r="M33" s="2"/>
      <c r="N33" s="2"/>
    </row>
  </sheetData>
  <mergeCells count="15">
    <mergeCell ref="A33:E33"/>
    <mergeCell ref="A1:F1"/>
    <mergeCell ref="A5:C5"/>
    <mergeCell ref="A7:C7"/>
    <mergeCell ref="A8:C8"/>
    <mergeCell ref="A6:C6"/>
    <mergeCell ref="A3:C3"/>
    <mergeCell ref="F3:L3"/>
    <mergeCell ref="A11:C11"/>
    <mergeCell ref="A4:C4"/>
    <mergeCell ref="F10:G10"/>
    <mergeCell ref="J10:K10"/>
    <mergeCell ref="A10:C10"/>
    <mergeCell ref="A9:C9"/>
    <mergeCell ref="A17:C1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B8" sqref="B8:E8"/>
    </sheetView>
  </sheetViews>
  <sheetFormatPr defaultRowHeight="15"/>
  <cols>
    <col min="1" max="1" width="42.7109375" bestFit="1" customWidth="1"/>
    <col min="2" max="2" width="12.7109375" customWidth="1"/>
    <col min="3" max="3" width="13" customWidth="1"/>
    <col min="5" max="6" width="11.42578125" customWidth="1"/>
  </cols>
  <sheetData>
    <row r="1" spans="1:14" ht="15.75">
      <c r="A1" s="157" t="s">
        <v>55</v>
      </c>
      <c r="B1" s="152"/>
      <c r="C1" s="152"/>
      <c r="D1" s="152"/>
      <c r="E1" s="152"/>
      <c r="F1" s="36"/>
      <c r="G1" s="2"/>
      <c r="H1" s="2"/>
      <c r="I1" s="2"/>
      <c r="J1" s="2"/>
      <c r="K1" s="2"/>
      <c r="L1" s="2"/>
      <c r="M1" s="2"/>
      <c r="N1" s="2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0.100000000000001" customHeight="1">
      <c r="A3" s="158" t="s">
        <v>102</v>
      </c>
      <c r="B3" s="158"/>
      <c r="C3" s="158"/>
      <c r="D3" s="22"/>
      <c r="E3" s="22"/>
      <c r="F3" s="18"/>
      <c r="G3" s="2"/>
      <c r="H3" s="2"/>
      <c r="I3" s="2"/>
      <c r="J3" s="2"/>
      <c r="K3" s="2"/>
      <c r="L3" s="2"/>
      <c r="M3" s="2"/>
      <c r="N3" s="2"/>
    </row>
    <row r="4" spans="1:14" ht="20.100000000000001" customHeight="1">
      <c r="A4" s="22" t="s">
        <v>56</v>
      </c>
      <c r="B4" s="22" t="s">
        <v>58</v>
      </c>
      <c r="C4" s="22" t="s">
        <v>60</v>
      </c>
      <c r="D4" s="159" t="s">
        <v>62</v>
      </c>
      <c r="E4" s="159"/>
      <c r="F4" s="18"/>
      <c r="G4" s="2"/>
      <c r="H4" s="2"/>
      <c r="I4" s="2"/>
      <c r="J4" s="2"/>
      <c r="K4" s="2"/>
      <c r="L4" s="2"/>
      <c r="M4" s="2"/>
      <c r="N4" s="2"/>
    </row>
    <row r="5" spans="1:14" ht="19.5" customHeight="1">
      <c r="A5" s="29" t="s">
        <v>57</v>
      </c>
      <c r="B5" s="29" t="s">
        <v>59</v>
      </c>
      <c r="C5" s="29" t="s">
        <v>61</v>
      </c>
      <c r="D5" s="160" t="s">
        <v>63</v>
      </c>
      <c r="E5" s="160"/>
      <c r="F5" s="18"/>
      <c r="G5" s="2"/>
      <c r="H5" s="2"/>
      <c r="I5" s="2"/>
      <c r="J5" s="2"/>
      <c r="K5" s="2"/>
      <c r="L5" s="2"/>
      <c r="M5" s="2"/>
      <c r="N5" s="2"/>
    </row>
    <row r="6" spans="1:14" ht="19.5" customHeight="1">
      <c r="A6" s="29" t="s">
        <v>64</v>
      </c>
      <c r="B6" s="29" t="s">
        <v>65</v>
      </c>
      <c r="C6" s="29" t="s">
        <v>61</v>
      </c>
      <c r="D6" s="160" t="s">
        <v>66</v>
      </c>
      <c r="E6" s="160"/>
      <c r="F6" s="18"/>
      <c r="G6" s="2"/>
      <c r="H6" s="2"/>
      <c r="I6" s="2"/>
      <c r="J6" s="2"/>
      <c r="K6" s="2"/>
      <c r="L6" s="2"/>
      <c r="M6" s="2"/>
      <c r="N6" s="2"/>
    </row>
    <row r="7" spans="1:14">
      <c r="A7" s="161" t="s">
        <v>67</v>
      </c>
      <c r="B7" s="161"/>
      <c r="C7" s="161"/>
      <c r="D7" s="161"/>
      <c r="E7" s="161"/>
      <c r="F7" s="18"/>
      <c r="G7" s="2"/>
      <c r="H7" s="2"/>
      <c r="I7" s="2"/>
      <c r="J7" s="2"/>
      <c r="K7" s="2"/>
      <c r="L7" s="2"/>
      <c r="M7" s="2"/>
      <c r="N7" s="2"/>
    </row>
    <row r="8" spans="1:14">
      <c r="A8" s="28"/>
      <c r="B8" s="156" t="s">
        <v>68</v>
      </c>
      <c r="C8" s="156"/>
      <c r="D8" s="156"/>
      <c r="E8" s="156"/>
      <c r="F8" s="18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18"/>
      <c r="G9" s="2"/>
      <c r="H9" s="2"/>
      <c r="I9" s="2"/>
      <c r="J9" s="2"/>
      <c r="K9" s="2"/>
      <c r="L9" s="2"/>
      <c r="M9" s="2"/>
      <c r="N9" s="2"/>
    </row>
    <row r="10" spans="1:14">
      <c r="A10" s="2" t="s">
        <v>128</v>
      </c>
      <c r="B10" s="2"/>
      <c r="C10" s="2"/>
      <c r="D10" s="2"/>
      <c r="E10" s="2"/>
      <c r="F10" s="18"/>
      <c r="G10" s="2"/>
      <c r="H10" s="2"/>
      <c r="I10" s="2"/>
      <c r="J10" s="2"/>
      <c r="K10" s="2"/>
      <c r="L10" s="2"/>
      <c r="M10" s="2"/>
      <c r="N10" s="2"/>
    </row>
    <row r="11" spans="1:14">
      <c r="A11" s="64" t="s">
        <v>90</v>
      </c>
      <c r="B11" s="95" t="s">
        <v>140</v>
      </c>
      <c r="C11" s="95"/>
      <c r="D11" s="93"/>
      <c r="E11" s="93"/>
      <c r="F11" s="94"/>
      <c r="G11" s="93"/>
      <c r="H11" s="93"/>
      <c r="I11" s="93"/>
      <c r="J11" s="93"/>
      <c r="K11" s="93"/>
      <c r="L11" s="93"/>
      <c r="M11" s="93"/>
      <c r="N11" s="2"/>
    </row>
    <row r="12" spans="1:14">
      <c r="A12" s="64"/>
      <c r="B12" s="93"/>
      <c r="C12" s="93"/>
      <c r="D12" s="93"/>
      <c r="E12" s="93"/>
      <c r="F12" s="94"/>
      <c r="G12" s="93"/>
      <c r="H12" s="93"/>
      <c r="I12" s="93"/>
      <c r="J12" s="93"/>
      <c r="K12" s="93"/>
      <c r="L12" s="93"/>
      <c r="M12" s="93"/>
      <c r="N12" s="2"/>
    </row>
    <row r="13" spans="1:14">
      <c r="A13" s="90" t="s">
        <v>89</v>
      </c>
      <c r="B13" s="89" t="s">
        <v>138</v>
      </c>
      <c r="C13" s="37"/>
      <c r="D13" s="93"/>
      <c r="E13" s="93"/>
      <c r="F13" s="94"/>
      <c r="G13" s="93"/>
      <c r="H13" s="93"/>
      <c r="I13" s="93"/>
      <c r="J13" s="93"/>
      <c r="K13" s="93"/>
      <c r="L13" s="93"/>
      <c r="M13" s="93"/>
      <c r="N13" s="2"/>
    </row>
    <row r="14" spans="1:14">
      <c r="A14" s="90" t="s">
        <v>141</v>
      </c>
      <c r="B14" s="92" t="s">
        <v>139</v>
      </c>
      <c r="C14" s="92"/>
      <c r="D14" s="93"/>
      <c r="E14" s="93"/>
      <c r="F14" s="94"/>
      <c r="G14" s="93"/>
      <c r="H14" s="93"/>
      <c r="I14" s="93"/>
      <c r="J14" s="93"/>
      <c r="K14" s="93"/>
      <c r="L14" s="93"/>
      <c r="M14" s="93"/>
      <c r="N14" s="2"/>
    </row>
    <row r="15" spans="1:14">
      <c r="A15" s="90" t="s">
        <v>142</v>
      </c>
      <c r="B15" s="91" t="s">
        <v>147</v>
      </c>
      <c r="C15" s="37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2"/>
    </row>
    <row r="16" spans="1:14">
      <c r="A16" s="90" t="s">
        <v>143</v>
      </c>
      <c r="B16" s="91" t="s">
        <v>147</v>
      </c>
      <c r="C16" s="37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2"/>
    </row>
    <row r="17" spans="1:14">
      <c r="A17" s="90" t="s">
        <v>144</v>
      </c>
      <c r="B17" s="89" t="s">
        <v>148</v>
      </c>
      <c r="C17" s="37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2"/>
    </row>
    <row r="18" spans="1:14">
      <c r="A18" s="90" t="s">
        <v>145</v>
      </c>
      <c r="B18" s="89" t="s">
        <v>149</v>
      </c>
      <c r="C18" s="37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2"/>
    </row>
    <row r="19" spans="1:14">
      <c r="A19" s="90" t="s">
        <v>146</v>
      </c>
      <c r="B19" s="37" t="s">
        <v>150</v>
      </c>
      <c r="C19" s="37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2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mergeCells count="7">
    <mergeCell ref="B8:E8"/>
    <mergeCell ref="A1:E1"/>
    <mergeCell ref="A3:C3"/>
    <mergeCell ref="D4:E4"/>
    <mergeCell ref="D5:E5"/>
    <mergeCell ref="D6:E6"/>
    <mergeCell ref="A7:E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89"/>
  <sheetViews>
    <sheetView workbookViewId="0">
      <selection activeCell="H22" sqref="H22"/>
    </sheetView>
  </sheetViews>
  <sheetFormatPr defaultRowHeight="15"/>
  <cols>
    <col min="1" max="1" width="19.5703125" customWidth="1"/>
    <col min="2" max="2" width="27.7109375" customWidth="1"/>
    <col min="3" max="3" width="18.5703125" customWidth="1"/>
    <col min="4" max="4" width="21.28515625" customWidth="1"/>
    <col min="5" max="5" width="13.85546875" customWidth="1"/>
    <col min="6" max="6" width="15.28515625" customWidth="1"/>
    <col min="7" max="7" width="11.28515625" customWidth="1"/>
    <col min="8" max="8" width="17" customWidth="1"/>
    <col min="9" max="9" width="16.28515625" customWidth="1"/>
    <col min="10" max="10" width="13" customWidth="1"/>
  </cols>
  <sheetData>
    <row r="1" spans="1:10" ht="18.75">
      <c r="A1" s="48" t="s">
        <v>98</v>
      </c>
      <c r="B1" s="49" t="s">
        <v>99</v>
      </c>
      <c r="C1" s="45"/>
      <c r="D1" s="44"/>
    </row>
    <row r="2" spans="1:10" ht="18.75">
      <c r="A2" s="137" t="s">
        <v>161</v>
      </c>
      <c r="B2" s="105" t="s">
        <v>162</v>
      </c>
      <c r="C2" s="65"/>
      <c r="D2" s="34"/>
    </row>
    <row r="3" spans="1:10" ht="18.75">
      <c r="A3" s="137" t="s">
        <v>163</v>
      </c>
      <c r="B3" s="105" t="s">
        <v>164</v>
      </c>
      <c r="C3" s="65"/>
      <c r="D3" s="34"/>
    </row>
    <row r="4" spans="1:10">
      <c r="A4" s="97" t="s">
        <v>106</v>
      </c>
      <c r="B4" s="174" t="s">
        <v>107</v>
      </c>
      <c r="C4" s="174"/>
    </row>
    <row r="5" spans="1:10">
      <c r="A5" s="174" t="s">
        <v>108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0" ht="18.75">
      <c r="A6" s="173" t="s">
        <v>104</v>
      </c>
      <c r="B6" s="173"/>
      <c r="G6" s="40"/>
      <c r="H6" s="40"/>
    </row>
    <row r="7" spans="1:10">
      <c r="A7" s="57" t="s">
        <v>88</v>
      </c>
      <c r="B7" s="61" t="s">
        <v>87</v>
      </c>
      <c r="C7" s="62" t="s">
        <v>86</v>
      </c>
      <c r="D7" s="66" t="s">
        <v>85</v>
      </c>
      <c r="E7" s="61" t="s">
        <v>84</v>
      </c>
      <c r="G7" s="40"/>
      <c r="H7" s="40"/>
    </row>
    <row r="8" spans="1:10">
      <c r="A8" s="58" t="s">
        <v>83</v>
      </c>
      <c r="B8" s="54">
        <v>6.6470307750585764</v>
      </c>
      <c r="C8" s="54">
        <v>8.6921412626715107</v>
      </c>
      <c r="D8" s="67">
        <v>9.1868688846569633</v>
      </c>
      <c r="E8" s="54">
        <v>8.7236489286487338</v>
      </c>
      <c r="G8" s="40"/>
      <c r="H8" s="40"/>
    </row>
    <row r="9" spans="1:10">
      <c r="A9" s="59" t="s">
        <v>82</v>
      </c>
      <c r="B9" s="55">
        <v>5.1680053007115694</v>
      </c>
      <c r="C9" s="55">
        <v>7.627111249597335</v>
      </c>
      <c r="D9" s="68">
        <v>8.6703556047850565</v>
      </c>
      <c r="E9" s="55">
        <v>8.746112915649622</v>
      </c>
      <c r="G9" s="40"/>
      <c r="H9" s="40"/>
    </row>
    <row r="10" spans="1:10">
      <c r="A10" s="59" t="s">
        <v>81</v>
      </c>
      <c r="B10" s="55">
        <v>4.5167680708286309</v>
      </c>
      <c r="C10" s="55">
        <v>6.7600358377490535</v>
      </c>
      <c r="D10" s="68">
        <v>8.0845980308196896</v>
      </c>
      <c r="E10" s="55">
        <v>8.6799294172771528</v>
      </c>
      <c r="G10" s="40"/>
      <c r="H10" s="40"/>
    </row>
    <row r="11" spans="1:10">
      <c r="A11" s="59" t="s">
        <v>80</v>
      </c>
      <c r="B11" s="55">
        <v>4.8632930307297642</v>
      </c>
      <c r="C11" s="55">
        <v>6.2969856601970653</v>
      </c>
      <c r="D11" s="68">
        <v>7.5642653744042532</v>
      </c>
      <c r="E11" s="55">
        <v>8.5385054298759133</v>
      </c>
      <c r="G11" s="40"/>
      <c r="H11" s="40"/>
    </row>
    <row r="12" spans="1:10">
      <c r="A12" s="59" t="s">
        <v>79</v>
      </c>
      <c r="B12" s="55">
        <v>6.1668323881751981</v>
      </c>
      <c r="C12" s="55">
        <v>6.4030001574741613</v>
      </c>
      <c r="D12" s="68">
        <v>7.2700781340978722</v>
      </c>
      <c r="E12" s="55">
        <v>8.3596025979786415</v>
      </c>
      <c r="G12" s="40"/>
      <c r="H12" s="40"/>
    </row>
    <row r="13" spans="1:10">
      <c r="A13" s="59" t="s">
        <v>78</v>
      </c>
      <c r="B13" s="55">
        <v>8.068808539421191</v>
      </c>
      <c r="C13" s="55">
        <v>7.0441639989623024</v>
      </c>
      <c r="D13" s="68">
        <v>7.2786835794345874</v>
      </c>
      <c r="E13" s="55">
        <v>8.1915253268747126</v>
      </c>
      <c r="G13" s="40"/>
      <c r="H13" s="40"/>
    </row>
    <row r="14" spans="1:10">
      <c r="A14" s="59" t="s">
        <v>77</v>
      </c>
      <c r="B14" s="55">
        <v>10.06040336670441</v>
      </c>
      <c r="C14" s="55">
        <v>8.0522099669529084</v>
      </c>
      <c r="D14" s="68">
        <v>7.5907113800888473</v>
      </c>
      <c r="E14" s="55">
        <v>8.0798602113261602</v>
      </c>
      <c r="G14" s="40"/>
      <c r="H14" s="40"/>
    </row>
    <row r="15" spans="1:10">
      <c r="A15" s="59" t="s">
        <v>76</v>
      </c>
      <c r="B15" s="55">
        <v>11.623612313230259</v>
      </c>
      <c r="C15" s="55">
        <v>9.1700171053291193</v>
      </c>
      <c r="D15" s="68">
        <v>8.1295651495852681</v>
      </c>
      <c r="E15" s="55">
        <v>8.0546190618643951</v>
      </c>
      <c r="G15" s="40"/>
      <c r="H15" s="40"/>
    </row>
    <row r="16" spans="1:10">
      <c r="A16" s="59" t="s">
        <v>75</v>
      </c>
      <c r="B16" s="55">
        <v>12.291395943132148</v>
      </c>
      <c r="C16" s="55">
        <v>10.063618533671571</v>
      </c>
      <c r="D16" s="68">
        <v>8.7342517199410921</v>
      </c>
      <c r="E16" s="55">
        <v>8.1233431686230659</v>
      </c>
      <c r="G16" s="40"/>
      <c r="H16" s="40"/>
    </row>
    <row r="17" spans="1:10">
      <c r="A17" s="59" t="s">
        <v>74</v>
      </c>
      <c r="B17" s="55">
        <v>11.906188195325585</v>
      </c>
      <c r="C17" s="55">
        <v>10.507053492872325</v>
      </c>
      <c r="D17" s="68">
        <v>9.2484915240912429</v>
      </c>
      <c r="E17" s="55">
        <v>8.2669291661482589</v>
      </c>
      <c r="G17" s="40"/>
      <c r="H17" s="40"/>
    </row>
    <row r="18" spans="1:10">
      <c r="A18" s="59" t="s">
        <v>73</v>
      </c>
      <c r="B18" s="55">
        <v>10.581403851941653</v>
      </c>
      <c r="C18" s="55">
        <v>10.385847298420298</v>
      </c>
      <c r="D18" s="68">
        <v>9.5353554051107512</v>
      </c>
      <c r="E18" s="55">
        <v>8.4461750410319318</v>
      </c>
      <c r="G18" s="40"/>
      <c r="H18" s="40"/>
    </row>
    <row r="19" spans="1:10">
      <c r="A19" s="60" t="s">
        <v>72</v>
      </c>
      <c r="B19" s="56">
        <v>8.6663430419728904</v>
      </c>
      <c r="C19" s="56">
        <v>9.7272812173772643</v>
      </c>
      <c r="D19" s="69">
        <v>9.5149980550637405</v>
      </c>
      <c r="E19" s="56">
        <v>8.6129261914561788</v>
      </c>
      <c r="G19" s="40"/>
      <c r="H19" s="40"/>
    </row>
    <row r="20" spans="1:10">
      <c r="A20" s="40"/>
      <c r="B20" s="70">
        <f>AVERAGE(B8:B19)</f>
        <v>8.3800070681026568</v>
      </c>
      <c r="C20" s="70">
        <f>AVERAGE(C8:C19)</f>
        <v>8.3941221484395783</v>
      </c>
      <c r="D20" s="71">
        <f>AVERAGE(D8:D19)</f>
        <v>8.4006852368399461</v>
      </c>
      <c r="E20" s="72">
        <f>AVERAGE(E8:E19)</f>
        <v>8.4019314547295654</v>
      </c>
    </row>
    <row r="21" spans="1:10">
      <c r="B21" s="40"/>
      <c r="C21" s="40"/>
      <c r="D21" s="40"/>
      <c r="E21" s="40"/>
    </row>
    <row r="22" spans="1:10" ht="21">
      <c r="A22" s="172" t="s">
        <v>101</v>
      </c>
      <c r="B22" s="172"/>
      <c r="C22" s="40"/>
      <c r="D22" s="40"/>
      <c r="E22" s="40"/>
    </row>
    <row r="23" spans="1:10" ht="21">
      <c r="A23" s="63" t="s">
        <v>103</v>
      </c>
      <c r="B23" s="74">
        <f>COP!H13</f>
        <v>3.4805157122997925</v>
      </c>
      <c r="C23" s="57" t="s">
        <v>122</v>
      </c>
      <c r="D23" s="138">
        <v>8</v>
      </c>
      <c r="E23" s="139" t="s">
        <v>91</v>
      </c>
    </row>
    <row r="24" spans="1:10" ht="64.5">
      <c r="A24" s="47" t="s">
        <v>96</v>
      </c>
      <c r="B24" s="73" t="s">
        <v>93</v>
      </c>
      <c r="C24" s="38" t="s">
        <v>94</v>
      </c>
      <c r="D24" s="38" t="s">
        <v>95</v>
      </c>
      <c r="E24" s="38" t="s">
        <v>165</v>
      </c>
      <c r="F24" s="38" t="s">
        <v>166</v>
      </c>
      <c r="G24" s="38" t="s">
        <v>167</v>
      </c>
      <c r="H24" s="38" t="s">
        <v>168</v>
      </c>
      <c r="I24" s="38" t="s">
        <v>169</v>
      </c>
      <c r="J24" s="43"/>
    </row>
    <row r="25" spans="1:10">
      <c r="A25" s="50" t="s">
        <v>83</v>
      </c>
      <c r="B25" s="70">
        <v>3852.2967512727282</v>
      </c>
      <c r="C25" s="77">
        <v>909.94691339013821</v>
      </c>
      <c r="D25" s="78">
        <v>43</v>
      </c>
      <c r="E25" s="55">
        <f>B25+C25+D25</f>
        <v>4805.2436646628666</v>
      </c>
      <c r="F25" s="55">
        <f>$D$23*24*365/12</f>
        <v>5840</v>
      </c>
      <c r="G25" s="55">
        <f>IF(E25&lt;F25,E25,F25)</f>
        <v>4805.2436646628666</v>
      </c>
      <c r="H25" s="55">
        <f>G25/$B$23</f>
        <v>1380.6125476410346</v>
      </c>
      <c r="I25" s="55">
        <f>IF(E25&lt;F25,0,E25-F25)</f>
        <v>0</v>
      </c>
      <c r="J25" s="42"/>
    </row>
    <row r="26" spans="1:10">
      <c r="A26" s="50" t="s">
        <v>82</v>
      </c>
      <c r="B26" s="70">
        <v>9157.3183447272713</v>
      </c>
      <c r="C26" s="77">
        <v>1441.1442754208588</v>
      </c>
      <c r="D26" s="78">
        <v>102</v>
      </c>
      <c r="E26" s="55">
        <f t="shared" ref="E26:E36" si="0">B26+C26+D26</f>
        <v>10700.46262014813</v>
      </c>
      <c r="F26" s="55">
        <f t="shared" ref="F26:F36" si="1">$D$23*24*365/12</f>
        <v>5840</v>
      </c>
      <c r="G26" s="55">
        <f t="shared" ref="G26:G27" si="2">IF(E26&lt;F26,E26,F26)</f>
        <v>5840</v>
      </c>
      <c r="H26" s="55">
        <f>G26/$B$23</f>
        <v>1677.9122643699113</v>
      </c>
      <c r="I26" s="55">
        <f>IF(E26&lt;F26,0,E26-F26)</f>
        <v>4860.4626201481296</v>
      </c>
      <c r="J26" s="42"/>
    </row>
    <row r="27" spans="1:10">
      <c r="A27" s="50" t="s">
        <v>81</v>
      </c>
      <c r="B27" s="70">
        <v>8024.5412187636348</v>
      </c>
      <c r="C27" s="77">
        <v>1289.1898020005424</v>
      </c>
      <c r="D27" s="78">
        <v>182</v>
      </c>
      <c r="E27" s="55">
        <f t="shared" si="0"/>
        <v>9495.7310207641767</v>
      </c>
      <c r="F27" s="55">
        <f t="shared" si="1"/>
        <v>5840</v>
      </c>
      <c r="G27" s="55">
        <f t="shared" si="2"/>
        <v>5840</v>
      </c>
      <c r="H27" s="55">
        <f t="shared" ref="H27:H36" si="3">G27/$B$23</f>
        <v>1677.9122643699113</v>
      </c>
      <c r="I27" s="55">
        <f>IF(E27&lt;F27,0,E27-F27)</f>
        <v>3655.7310207641767</v>
      </c>
      <c r="J27" s="42"/>
    </row>
    <row r="28" spans="1:10">
      <c r="A28" s="50" t="s">
        <v>80</v>
      </c>
      <c r="B28" s="70">
        <v>5780.6918683636395</v>
      </c>
      <c r="C28" s="77">
        <v>789.78216922391903</v>
      </c>
      <c r="D28" s="78">
        <v>326</v>
      </c>
      <c r="E28" s="55">
        <f>B28+C28+D28</f>
        <v>6896.474037587559</v>
      </c>
      <c r="F28" s="55">
        <f t="shared" si="1"/>
        <v>5840</v>
      </c>
      <c r="G28" s="55">
        <f>IF(E28&lt;F28,E28,F28)</f>
        <v>5840</v>
      </c>
      <c r="H28" s="55">
        <f t="shared" si="3"/>
        <v>1677.9122643699113</v>
      </c>
      <c r="I28" s="55">
        <f>IF(E28&lt;F28,0,E28-F28)</f>
        <v>1056.474037587559</v>
      </c>
      <c r="J28" s="42"/>
    </row>
    <row r="29" spans="1:10">
      <c r="A29" s="50" t="s">
        <v>79</v>
      </c>
      <c r="B29" s="70">
        <v>1573.3297098909115</v>
      </c>
      <c r="C29" s="77">
        <v>0</v>
      </c>
      <c r="D29" s="78">
        <v>653</v>
      </c>
      <c r="E29" s="55">
        <f t="shared" si="0"/>
        <v>2226.3297098909115</v>
      </c>
      <c r="F29" s="55">
        <f t="shared" si="1"/>
        <v>5840</v>
      </c>
      <c r="G29" s="55">
        <f t="shared" ref="G29:G36" si="4">IF(E29&lt;F29,E29,F29)</f>
        <v>2226.3297098909115</v>
      </c>
      <c r="H29" s="55">
        <f t="shared" si="3"/>
        <v>639.65512410223755</v>
      </c>
      <c r="I29" s="55">
        <f>IF(E29&lt;F29,0,E29-F29)</f>
        <v>0</v>
      </c>
      <c r="J29" s="42"/>
    </row>
    <row r="30" spans="1:10">
      <c r="A30" s="50" t="s">
        <v>78</v>
      </c>
      <c r="B30" s="70">
        <v>0</v>
      </c>
      <c r="C30" s="77">
        <v>0</v>
      </c>
      <c r="D30" s="78">
        <v>1539</v>
      </c>
      <c r="E30" s="55">
        <f t="shared" si="0"/>
        <v>1539</v>
      </c>
      <c r="F30" s="55">
        <f t="shared" si="1"/>
        <v>5840</v>
      </c>
      <c r="G30" s="55">
        <f t="shared" si="4"/>
        <v>1539</v>
      </c>
      <c r="H30" s="55">
        <f t="shared" si="3"/>
        <v>442.17585186049547</v>
      </c>
      <c r="I30" s="55">
        <f t="shared" ref="I30:I36" si="5">IF(E30&lt;F30,0,E30-F30)</f>
        <v>0</v>
      </c>
      <c r="J30" s="42"/>
    </row>
    <row r="31" spans="1:10">
      <c r="A31" s="50" t="s">
        <v>77</v>
      </c>
      <c r="B31" s="70">
        <v>0</v>
      </c>
      <c r="C31" s="77">
        <v>0</v>
      </c>
      <c r="D31" s="78">
        <v>1580</v>
      </c>
      <c r="E31" s="55">
        <f t="shared" si="0"/>
        <v>1580</v>
      </c>
      <c r="F31" s="55">
        <f t="shared" si="1"/>
        <v>5840</v>
      </c>
      <c r="G31" s="55">
        <f t="shared" si="4"/>
        <v>1580</v>
      </c>
      <c r="H31" s="55">
        <f t="shared" si="3"/>
        <v>453.95571536035277</v>
      </c>
      <c r="I31" s="55">
        <f t="shared" si="5"/>
        <v>0</v>
      </c>
      <c r="J31" s="42"/>
    </row>
    <row r="32" spans="1:10">
      <c r="A32" s="50" t="s">
        <v>76</v>
      </c>
      <c r="B32" s="70">
        <v>0</v>
      </c>
      <c r="C32" s="77">
        <v>0</v>
      </c>
      <c r="D32" s="78">
        <v>1266</v>
      </c>
      <c r="E32" s="55">
        <f t="shared" si="0"/>
        <v>1266</v>
      </c>
      <c r="F32" s="55">
        <f t="shared" si="1"/>
        <v>5840</v>
      </c>
      <c r="G32" s="55">
        <f t="shared" si="4"/>
        <v>1266</v>
      </c>
      <c r="H32" s="55">
        <f t="shared" si="3"/>
        <v>363.73919977608011</v>
      </c>
      <c r="I32" s="55">
        <f t="shared" si="5"/>
        <v>0</v>
      </c>
      <c r="J32" s="42"/>
    </row>
    <row r="33" spans="1:20">
      <c r="A33" s="50" t="s">
        <v>75</v>
      </c>
      <c r="B33" s="70">
        <v>0</v>
      </c>
      <c r="C33" s="77">
        <v>0</v>
      </c>
      <c r="D33" s="78">
        <v>624</v>
      </c>
      <c r="E33" s="55">
        <f t="shared" si="0"/>
        <v>624</v>
      </c>
      <c r="F33" s="55">
        <f t="shared" si="1"/>
        <v>5840</v>
      </c>
      <c r="G33" s="55">
        <f t="shared" si="4"/>
        <v>624</v>
      </c>
      <c r="H33" s="55">
        <f t="shared" si="3"/>
        <v>179.28377619294943</v>
      </c>
      <c r="I33" s="55">
        <f t="shared" si="5"/>
        <v>0</v>
      </c>
      <c r="J33" s="42"/>
    </row>
    <row r="34" spans="1:20">
      <c r="A34" s="50" t="s">
        <v>74</v>
      </c>
      <c r="B34" s="70">
        <v>3951.0481236363639</v>
      </c>
      <c r="C34" s="77">
        <v>645.24725182981842</v>
      </c>
      <c r="D34" s="78">
        <v>182</v>
      </c>
      <c r="E34" s="55">
        <f t="shared" si="0"/>
        <v>4778.2953754661821</v>
      </c>
      <c r="F34" s="55">
        <f t="shared" si="1"/>
        <v>5840</v>
      </c>
      <c r="G34" s="55">
        <f t="shared" si="4"/>
        <v>4778.2953754661821</v>
      </c>
      <c r="H34" s="55">
        <f t="shared" si="3"/>
        <v>1372.8699337802634</v>
      </c>
      <c r="I34" s="55">
        <f t="shared" si="5"/>
        <v>0</v>
      </c>
      <c r="J34" s="42"/>
    </row>
    <row r="35" spans="1:20">
      <c r="A35" s="50" t="s">
        <v>73</v>
      </c>
      <c r="B35" s="70">
        <v>1983.1395890909089</v>
      </c>
      <c r="C35" s="77">
        <v>498.74896910094571</v>
      </c>
      <c r="D35" s="78">
        <v>42</v>
      </c>
      <c r="E35" s="55">
        <f t="shared" si="0"/>
        <v>2523.8885581918548</v>
      </c>
      <c r="F35" s="55">
        <f t="shared" si="1"/>
        <v>5840</v>
      </c>
      <c r="G35" s="55">
        <f t="shared" si="4"/>
        <v>2523.8885581918548</v>
      </c>
      <c r="H35" s="55">
        <f t="shared" si="3"/>
        <v>725.14787083784347</v>
      </c>
      <c r="I35" s="55">
        <f t="shared" si="5"/>
        <v>0</v>
      </c>
      <c r="J35" s="42"/>
    </row>
    <row r="36" spans="1:20">
      <c r="A36" s="50" t="s">
        <v>72</v>
      </c>
      <c r="B36" s="70">
        <v>4170.1906845090925</v>
      </c>
      <c r="C36" s="77">
        <v>990.67901826879563</v>
      </c>
      <c r="D36" s="78">
        <v>43</v>
      </c>
      <c r="E36" s="55">
        <f t="shared" si="0"/>
        <v>5203.8697027778881</v>
      </c>
      <c r="F36" s="55">
        <f t="shared" si="1"/>
        <v>5840</v>
      </c>
      <c r="G36" s="55">
        <f t="shared" si="4"/>
        <v>5203.8697027778881</v>
      </c>
      <c r="H36" s="55">
        <f t="shared" si="3"/>
        <v>1495.1432870674698</v>
      </c>
      <c r="I36" s="55">
        <f t="shared" si="5"/>
        <v>0</v>
      </c>
      <c r="J36" s="42"/>
    </row>
    <row r="37" spans="1:20" ht="15.75">
      <c r="A37" s="51" t="s">
        <v>100</v>
      </c>
      <c r="B37" s="79">
        <f t="shared" ref="B37:I37" si="6">SUM(B25:B36)</f>
        <v>38492.55629025455</v>
      </c>
      <c r="C37" s="80">
        <f t="shared" si="6"/>
        <v>6564.7383992350178</v>
      </c>
      <c r="D37" s="81">
        <f t="shared" si="6"/>
        <v>6582</v>
      </c>
      <c r="E37" s="82">
        <f t="shared" si="6"/>
        <v>51639.294689489565</v>
      </c>
      <c r="F37" s="82">
        <f t="shared" si="6"/>
        <v>70080</v>
      </c>
      <c r="G37" s="82">
        <f t="shared" si="6"/>
        <v>42066.627010989709</v>
      </c>
      <c r="H37" s="82">
        <f t="shared" si="6"/>
        <v>12086.320099728458</v>
      </c>
      <c r="I37" s="82">
        <f t="shared" si="6"/>
        <v>9572.6676784998654</v>
      </c>
      <c r="J37" s="40"/>
    </row>
    <row r="38" spans="1:20">
      <c r="A38" s="40"/>
      <c r="B38" s="34"/>
      <c r="C38" s="52"/>
      <c r="D38" s="40"/>
      <c r="E38" s="42"/>
      <c r="F38" s="42"/>
      <c r="G38" s="42"/>
      <c r="H38" s="42"/>
      <c r="I38" s="42"/>
      <c r="J38" s="42"/>
    </row>
    <row r="39" spans="1:20" ht="21">
      <c r="A39" s="178" t="s">
        <v>123</v>
      </c>
      <c r="B39" s="178"/>
      <c r="C39" s="53"/>
      <c r="D39" s="40"/>
      <c r="E39" s="134"/>
      <c r="F39" s="135"/>
      <c r="G39" s="135"/>
      <c r="H39" s="135"/>
      <c r="I39" s="134"/>
      <c r="J39" s="134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21">
      <c r="A40" s="86"/>
      <c r="B40" s="86"/>
      <c r="C40" s="53"/>
      <c r="D40" s="40"/>
      <c r="E40" s="134"/>
      <c r="F40" s="135"/>
      <c r="G40" s="135"/>
      <c r="H40" s="135"/>
      <c r="I40" s="134"/>
      <c r="J40" s="134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21">
      <c r="A41" s="98" t="s">
        <v>152</v>
      </c>
      <c r="B41" s="86"/>
      <c r="C41" s="53"/>
      <c r="D41" s="40"/>
      <c r="E41" s="134"/>
      <c r="F41" s="135"/>
      <c r="G41" s="135"/>
      <c r="H41" s="135"/>
      <c r="I41" s="134"/>
      <c r="J41" s="134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>
      <c r="A42" s="34"/>
      <c r="B42" s="34"/>
      <c r="C42" s="34"/>
      <c r="D42" s="3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>
      <c r="A43" s="182" t="s">
        <v>110</v>
      </c>
      <c r="B43" s="182"/>
      <c r="C43" s="34"/>
      <c r="D43" s="3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>
      <c r="A44" s="76" t="s">
        <v>109</v>
      </c>
      <c r="B44" s="177" t="s">
        <v>173</v>
      </c>
      <c r="C44" s="177"/>
      <c r="D44" s="17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>
      <c r="A45" s="113" t="s">
        <v>112</v>
      </c>
      <c r="B45" s="113" t="s">
        <v>114</v>
      </c>
      <c r="C45" s="114" t="s">
        <v>113</v>
      </c>
      <c r="D45" s="115" t="s">
        <v>97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>
      <c r="A46" s="116" t="s">
        <v>115</v>
      </c>
      <c r="B46" s="117" t="s">
        <v>117</v>
      </c>
      <c r="C46" s="118">
        <f>(B37+D37)*1.1</f>
        <v>49582.011919280012</v>
      </c>
      <c r="D46" s="119">
        <f>C46*3.17/100</f>
        <v>1571.7497778411762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>
      <c r="A47" s="120" t="s">
        <v>116</v>
      </c>
      <c r="B47" s="121" t="s">
        <v>118</v>
      </c>
      <c r="C47" s="122">
        <f>C37</f>
        <v>6564.7383992350178</v>
      </c>
      <c r="D47" s="123">
        <f>C47*10.24/100</f>
        <v>672.22921208166588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>
      <c r="A48" s="179" t="s">
        <v>137</v>
      </c>
      <c r="B48" s="180"/>
      <c r="C48" s="181"/>
      <c r="D48" s="111">
        <f>SUM(D46:D47)</f>
        <v>2243.9789899228422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182" t="s">
        <v>119</v>
      </c>
      <c r="B50" s="182"/>
      <c r="C50" s="34"/>
      <c r="D50" s="3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>
      <c r="A51" s="46" t="s">
        <v>120</v>
      </c>
      <c r="B51" s="46" t="s">
        <v>174</v>
      </c>
      <c r="C51" s="34"/>
      <c r="D51" s="3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>
      <c r="A52" s="126" t="s">
        <v>121</v>
      </c>
      <c r="B52" s="127" t="s">
        <v>125</v>
      </c>
      <c r="C52" s="128" t="s">
        <v>113</v>
      </c>
      <c r="D52" s="125" t="s">
        <v>97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>
      <c r="A53" s="116" t="s">
        <v>124</v>
      </c>
      <c r="B53" s="117" t="s">
        <v>126</v>
      </c>
      <c r="C53" s="118">
        <f>H37</f>
        <v>12086.320099728458</v>
      </c>
      <c r="D53" s="124">
        <f>C53*10.24/100</f>
        <v>1237.6391782121943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>
      <c r="A54" s="120"/>
      <c r="B54" s="121" t="s">
        <v>127</v>
      </c>
      <c r="C54" s="122">
        <f>I37</f>
        <v>9572.6676784998654</v>
      </c>
      <c r="D54" s="112">
        <f>C54*3.17/100</f>
        <v>303.45356540844574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>
      <c r="A55" s="179" t="s">
        <v>137</v>
      </c>
      <c r="B55" s="180"/>
      <c r="C55" s="181"/>
      <c r="D55" s="112">
        <f>SUM(D53:D54)</f>
        <v>1541.09274362064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>
      <c r="A58" s="96" t="s">
        <v>128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>
      <c r="C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>
      <c r="A60" s="114" t="s">
        <v>129</v>
      </c>
      <c r="B60" s="166">
        <f>D23</f>
        <v>8</v>
      </c>
      <c r="C60" s="167"/>
      <c r="D60" s="136" t="s">
        <v>91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>
      <c r="A61" s="168" t="s">
        <v>172</v>
      </c>
      <c r="B61" s="169"/>
      <c r="C61" s="132" t="s">
        <v>171</v>
      </c>
      <c r="D61" s="129" t="s">
        <v>135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>
      <c r="A62" s="170" t="s">
        <v>89</v>
      </c>
      <c r="B62" s="170"/>
      <c r="C62" s="133">
        <f>800*B60</f>
        <v>6400</v>
      </c>
      <c r="D62" s="130">
        <f>800*B60-1500</f>
        <v>4900</v>
      </c>
    </row>
    <row r="63" spans="1:20">
      <c r="A63" s="170" t="s">
        <v>105</v>
      </c>
      <c r="B63" s="170"/>
      <c r="C63" s="133">
        <f>C62*0.01</f>
        <v>64</v>
      </c>
      <c r="D63" s="130">
        <f>800*B60*0.01</f>
        <v>64</v>
      </c>
    </row>
    <row r="64" spans="1:20">
      <c r="A64" s="170" t="s">
        <v>130</v>
      </c>
      <c r="B64" s="170"/>
      <c r="C64" s="133">
        <f>D48</f>
        <v>2243.9789899228422</v>
      </c>
      <c r="D64" s="130">
        <f>D48</f>
        <v>2243.9789899228422</v>
      </c>
    </row>
    <row r="65" spans="1:4">
      <c r="A65" s="170" t="s">
        <v>131</v>
      </c>
      <c r="B65" s="170"/>
      <c r="C65" s="133">
        <f>D55</f>
        <v>1541.09274362064</v>
      </c>
      <c r="D65" s="130">
        <f>D55</f>
        <v>1541.09274362064</v>
      </c>
    </row>
    <row r="66" spans="1:4">
      <c r="A66" s="170" t="s">
        <v>132</v>
      </c>
      <c r="B66" s="170"/>
      <c r="C66" s="133">
        <f>C64-C65</f>
        <v>702.88624630220215</v>
      </c>
      <c r="D66" s="130">
        <f>D64-D65</f>
        <v>702.88624630220215</v>
      </c>
    </row>
    <row r="67" spans="1:4">
      <c r="A67" s="170" t="s">
        <v>133</v>
      </c>
      <c r="B67" s="170"/>
      <c r="C67" s="133">
        <f>C66-C63</f>
        <v>638.88624630220215</v>
      </c>
      <c r="D67" s="130">
        <f>D66-D63</f>
        <v>638.88624630220215</v>
      </c>
    </row>
    <row r="68" spans="1:4">
      <c r="A68" s="176" t="s">
        <v>134</v>
      </c>
      <c r="B68" s="176"/>
      <c r="C68" s="113">
        <f>C62/C67</f>
        <v>10.017432738679915</v>
      </c>
      <c r="D68" s="131">
        <f>D62/D67</f>
        <v>7.6695969405518101</v>
      </c>
    </row>
    <row r="69" spans="1:4">
      <c r="D69" s="88" t="s">
        <v>136</v>
      </c>
    </row>
    <row r="71" spans="1:4" ht="18.75">
      <c r="A71" s="175" t="s">
        <v>151</v>
      </c>
      <c r="B71" s="175"/>
    </row>
    <row r="73" spans="1:4" ht="21">
      <c r="A73" s="98" t="s">
        <v>153</v>
      </c>
    </row>
    <row r="74" spans="1:4" ht="15.75">
      <c r="A74" s="98"/>
    </row>
    <row r="75" spans="1:4">
      <c r="A75" s="162" t="s">
        <v>110</v>
      </c>
      <c r="B75" s="162"/>
    </row>
    <row r="76" spans="1:4">
      <c r="A76" s="76" t="s">
        <v>109</v>
      </c>
      <c r="B76" s="171" t="s">
        <v>111</v>
      </c>
      <c r="C76" s="171"/>
      <c r="D76" s="171"/>
    </row>
    <row r="77" spans="1:4">
      <c r="A77" s="61" t="s">
        <v>112</v>
      </c>
      <c r="B77" s="61" t="s">
        <v>154</v>
      </c>
      <c r="C77" s="57" t="s">
        <v>113</v>
      </c>
      <c r="D77" s="85" t="s">
        <v>157</v>
      </c>
    </row>
    <row r="78" spans="1:4">
      <c r="A78" s="39" t="s">
        <v>115</v>
      </c>
      <c r="B78" s="84" t="s">
        <v>156</v>
      </c>
      <c r="C78" s="55">
        <f>B37+D37</f>
        <v>45074.55629025455</v>
      </c>
      <c r="D78" s="55">
        <f>C78*0.24/1000</f>
        <v>10.817893509661092</v>
      </c>
    </row>
    <row r="79" spans="1:4">
      <c r="A79" s="83" t="s">
        <v>116</v>
      </c>
      <c r="B79" s="87" t="s">
        <v>155</v>
      </c>
      <c r="C79" s="56">
        <f>C37</f>
        <v>6564.7383992350178</v>
      </c>
      <c r="D79" s="56">
        <f>C79*0.43/1000</f>
        <v>2.8228375116710578</v>
      </c>
    </row>
    <row r="80" spans="1:4">
      <c r="A80" s="163" t="s">
        <v>158</v>
      </c>
      <c r="B80" s="164"/>
      <c r="C80" s="165"/>
      <c r="D80" s="99">
        <f>SUM(D78:D79)</f>
        <v>13.640731021332149</v>
      </c>
    </row>
    <row r="82" spans="1:5">
      <c r="A82" s="162" t="s">
        <v>119</v>
      </c>
      <c r="B82" s="162"/>
    </row>
    <row r="83" spans="1:5">
      <c r="A83" s="46" t="s">
        <v>120</v>
      </c>
      <c r="B83" s="41" t="s">
        <v>170</v>
      </c>
    </row>
    <row r="84" spans="1:5">
      <c r="A84" s="58" t="s">
        <v>121</v>
      </c>
      <c r="B84" s="107" t="s">
        <v>125</v>
      </c>
      <c r="C84" s="108" t="s">
        <v>113</v>
      </c>
      <c r="D84" s="75" t="s">
        <v>157</v>
      </c>
    </row>
    <row r="85" spans="1:5">
      <c r="A85" s="106" t="s">
        <v>124</v>
      </c>
      <c r="B85" s="84" t="s">
        <v>126</v>
      </c>
      <c r="C85" s="55">
        <f>H37</f>
        <v>12086.320099728458</v>
      </c>
      <c r="D85" s="100">
        <f>C85*0.43/1000</f>
        <v>5.1971176428832369</v>
      </c>
    </row>
    <row r="86" spans="1:5">
      <c r="A86" s="83"/>
      <c r="B86" s="87" t="s">
        <v>127</v>
      </c>
      <c r="C86" s="56">
        <f>I37</f>
        <v>9572.6676784998654</v>
      </c>
      <c r="D86" s="101">
        <f>C86*0.24/1000</f>
        <v>2.2974402428399676</v>
      </c>
    </row>
    <row r="87" spans="1:5">
      <c r="A87" s="163" t="s">
        <v>158</v>
      </c>
      <c r="B87" s="164"/>
      <c r="C87" s="165"/>
      <c r="D87" s="102">
        <f>SUM(D85:D86)</f>
        <v>7.4945578857232045</v>
      </c>
    </row>
    <row r="89" spans="1:5">
      <c r="A89" s="97" t="s">
        <v>159</v>
      </c>
      <c r="D89" s="103">
        <f>D80-D87</f>
        <v>6.1461731356089446</v>
      </c>
      <c r="E89" s="104" t="s">
        <v>160</v>
      </c>
    </row>
  </sheetData>
  <mergeCells count="25">
    <mergeCell ref="A22:B22"/>
    <mergeCell ref="A6:B6"/>
    <mergeCell ref="B4:C4"/>
    <mergeCell ref="A5:J5"/>
    <mergeCell ref="A71:B71"/>
    <mergeCell ref="A67:B67"/>
    <mergeCell ref="A68:B68"/>
    <mergeCell ref="B44:D44"/>
    <mergeCell ref="A39:B39"/>
    <mergeCell ref="A48:C48"/>
    <mergeCell ref="A55:C55"/>
    <mergeCell ref="A43:B43"/>
    <mergeCell ref="A50:B50"/>
    <mergeCell ref="A62:B62"/>
    <mergeCell ref="A63:B63"/>
    <mergeCell ref="A64:B64"/>
    <mergeCell ref="A82:B82"/>
    <mergeCell ref="A87:C87"/>
    <mergeCell ref="B60:C60"/>
    <mergeCell ref="A61:B61"/>
    <mergeCell ref="A65:B65"/>
    <mergeCell ref="A66:B66"/>
    <mergeCell ref="A75:B75"/>
    <mergeCell ref="B76:D76"/>
    <mergeCell ref="A80:C8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</vt:lpstr>
      <vt:lpstr>Source Temperature</vt:lpstr>
      <vt:lpstr>Economics</vt:lpstr>
      <vt:lpstr>case study-1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Duddumpudi</dc:creator>
  <cp:lastModifiedBy>Admin</cp:lastModifiedBy>
  <cp:lastPrinted>2010-04-19T09:46:30Z</cp:lastPrinted>
  <dcterms:created xsi:type="dcterms:W3CDTF">2010-03-29T20:44:26Z</dcterms:created>
  <dcterms:modified xsi:type="dcterms:W3CDTF">2010-05-06T10:45:28Z</dcterms:modified>
</cp:coreProperties>
</file>